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wmf" ContentType="image/x-wmf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3335" windowHeight="7935"/>
  </bookViews>
  <sheets>
    <sheet name="ORÇAMENTO" sheetId="1" r:id="rId1"/>
    <sheet name="Cronograma (2)" sheetId="19" r:id="rId2"/>
    <sheet name="Cronograma" sheetId="11" state="hidden" r:id="rId3"/>
    <sheet name="BDI" sheetId="6" r:id="rId4"/>
    <sheet name="Curva ABC " sheetId="16" r:id="rId5"/>
    <sheet name="%Acumulado" sheetId="18" r:id="rId6"/>
    <sheet name="Composições" sheetId="3" r:id="rId7"/>
    <sheet name="Plan5" sheetId="7" state="hidden" r:id="rId8"/>
    <sheet name="Cotações" sheetId="12" r:id="rId9"/>
    <sheet name="Referências" sheetId="13" r:id="rId10"/>
    <sheet name="ORÇ. BASE" sheetId="2" r:id="rId11"/>
    <sheet name="Plan1" sheetId="20" r:id="rId12"/>
  </sheets>
  <externalReferences>
    <externalReference r:id="rId13"/>
    <externalReference r:id="rId14"/>
    <externalReference r:id="rId15"/>
  </externalReferences>
  <definedNames>
    <definedName name="_1Excel_BuiltIn_Print_Area_2_1_1" localSheetId="1">#REF!</definedName>
    <definedName name="_1Excel_BuiltIn_Print_Area_2_1_1" localSheetId="4">#REF!</definedName>
    <definedName name="_1Excel_BuiltIn_Print_Area_2_1_1">#REF!</definedName>
    <definedName name="_2Excel_BuiltIn_Print_Area_3_1_1" localSheetId="1">#REF!</definedName>
    <definedName name="_2Excel_BuiltIn_Print_Area_3_1_1" localSheetId="4">#REF!</definedName>
    <definedName name="_2Excel_BuiltIn_Print_Area_3_1_1">#REF!</definedName>
    <definedName name="_3Excel_BuiltIn_Print_Titles_3_1_1_1_1" localSheetId="1">#REF!</definedName>
    <definedName name="_3Excel_BuiltIn_Print_Titles_3_1_1_1_1" localSheetId="4">#REF!</definedName>
    <definedName name="_3Excel_BuiltIn_Print_Titles_3_1_1_1_1">#REF!</definedName>
    <definedName name="_4Excel_BuiltIn_Print_Titles_3_1_1_1_1_1" localSheetId="1">#REF!</definedName>
    <definedName name="_4Excel_BuiltIn_Print_Titles_3_1_1_1_1_1" localSheetId="4">#REF!</definedName>
    <definedName name="_4Excel_BuiltIn_Print_Titles_3_1_1_1_1_1">#REF!</definedName>
    <definedName name="_BD2" localSheetId="1">#REF!</definedName>
    <definedName name="_BD2" localSheetId="4">#REF!</definedName>
    <definedName name="_BD2">#REF!</definedName>
    <definedName name="_BD2_10" localSheetId="1">#REF!</definedName>
    <definedName name="_BD2_10" localSheetId="4">#REF!</definedName>
    <definedName name="_BD2_10">#REF!</definedName>
    <definedName name="_BD2_11" localSheetId="1">#REF!</definedName>
    <definedName name="_BD2_11" localSheetId="4">#REF!</definedName>
    <definedName name="_BD2_11">#REF!</definedName>
    <definedName name="_BD2_2" localSheetId="1">#REF!</definedName>
    <definedName name="_BD2_2" localSheetId="4">#REF!</definedName>
    <definedName name="_BD2_2">#REF!</definedName>
    <definedName name="_BD2_4" localSheetId="1">#REF!</definedName>
    <definedName name="_BD2_4" localSheetId="4">#REF!</definedName>
    <definedName name="_BD2_4">#REF!</definedName>
    <definedName name="_BD2_4_2" localSheetId="1">#REF!</definedName>
    <definedName name="_BD2_4_2" localSheetId="4">#REF!</definedName>
    <definedName name="_BD2_4_2">#REF!</definedName>
    <definedName name="_BD2_9" localSheetId="1">#REF!</definedName>
    <definedName name="_BD2_9" localSheetId="4">#REF!</definedName>
    <definedName name="_BD2_9">#REF!</definedName>
    <definedName name="_xlnm._FilterDatabase" localSheetId="5" hidden="1">'%Acumulado'!$A$1:$G$1</definedName>
    <definedName name="_xlnm._FilterDatabase" localSheetId="0" hidden="1">ORÇAMENTO!$B$6:$G$88</definedName>
    <definedName name="_xlnm.Print_Area" localSheetId="1">#REF!</definedName>
    <definedName name="_xlnm.Print_Area" localSheetId="4">#REF!</definedName>
    <definedName name="_xlnm.Print_Area">#REF!</definedName>
    <definedName name="CdaCto">2</definedName>
    <definedName name="CdaCun">2</definedName>
    <definedName name="CdaQtd">5</definedName>
    <definedName name="CdCto">2</definedName>
    <definedName name="CdCun">2</definedName>
    <definedName name="CdDersa">5</definedName>
    <definedName name="CdEmop">6</definedName>
    <definedName name="CdQtd">5</definedName>
    <definedName name="CdQtEqA">2</definedName>
    <definedName name="CdQtEqP">2</definedName>
    <definedName name="CdQtMoA">2</definedName>
    <definedName name="CdQtMoP">2</definedName>
    <definedName name="CdQtMpA">5</definedName>
    <definedName name="CdQtMpP">5</definedName>
    <definedName name="CdQtTrA">2</definedName>
    <definedName name="CdQtTrP">2</definedName>
    <definedName name="CunImp">0</definedName>
    <definedName name="DMT">2</definedName>
    <definedName name="Excel_BuiltIn__FilterDatabase_2">"$#REF!.$A$6:$G$2467"</definedName>
    <definedName name="Excel_BuiltIn__FilterDatabase_2_1" localSheetId="1">#REF!</definedName>
    <definedName name="Excel_BuiltIn__FilterDatabase_2_1" localSheetId="4">#REF!</definedName>
    <definedName name="Excel_BuiltIn__FilterDatabase_2_1">#REF!</definedName>
    <definedName name="Excel_BuiltIn__FilterDatabase_2_1_1" localSheetId="1">#REF!</definedName>
    <definedName name="Excel_BuiltIn__FilterDatabase_2_1_1" localSheetId="4">#REF!</definedName>
    <definedName name="Excel_BuiltIn__FilterDatabase_2_1_1">#REF!</definedName>
    <definedName name="Excel_BuiltIn__FilterDatabase_2_1_3" localSheetId="1">#REF!</definedName>
    <definedName name="Excel_BuiltIn__FilterDatabase_2_1_3" localSheetId="4">#REF!</definedName>
    <definedName name="Excel_BuiltIn__FilterDatabase_2_1_3">#REF!</definedName>
    <definedName name="Excel_BuiltIn__FilterDatabase_4" localSheetId="1">#REF!</definedName>
    <definedName name="Excel_BuiltIn__FilterDatabase_4" localSheetId="4">#REF!</definedName>
    <definedName name="Excel_BuiltIn__FilterDatabase_4">#REF!</definedName>
    <definedName name="Excel_BuiltIn__FilterDatabase_4_10" localSheetId="1">#REF!</definedName>
    <definedName name="Excel_BuiltIn__FilterDatabase_4_10" localSheetId="4">#REF!</definedName>
    <definedName name="Excel_BuiltIn__FilterDatabase_4_10">#REF!</definedName>
    <definedName name="Excel_BuiltIn__FilterDatabase_4_11" localSheetId="1">#REF!</definedName>
    <definedName name="Excel_BuiltIn__FilterDatabase_4_11" localSheetId="4">#REF!</definedName>
    <definedName name="Excel_BuiltIn__FilterDatabase_4_11">#REF!</definedName>
    <definedName name="Excel_BuiltIn__FilterDatabase_4_2" localSheetId="1">#REF!</definedName>
    <definedName name="Excel_BuiltIn__FilterDatabase_4_2" localSheetId="4">#REF!</definedName>
    <definedName name="Excel_BuiltIn__FilterDatabase_4_2">#REF!</definedName>
    <definedName name="Excel_BuiltIn__FilterDatabase_4_9" localSheetId="1">#REF!</definedName>
    <definedName name="Excel_BuiltIn__FilterDatabase_4_9" localSheetId="4">#REF!</definedName>
    <definedName name="Excel_BuiltIn__FilterDatabase_4_9">#REF!</definedName>
    <definedName name="Excel_BuiltIn_Print_Area_1">"$#REF!.$A$1:$DC$26"</definedName>
    <definedName name="Excel_BuiltIn_Print_Area_1_1" localSheetId="1">#REF!</definedName>
    <definedName name="Excel_BuiltIn_Print_Area_1_1" localSheetId="4">#REF!</definedName>
    <definedName name="Excel_BuiltIn_Print_Area_1_1">#REF!</definedName>
    <definedName name="Excel_BuiltIn_Print_Area_12" localSheetId="1">#REF!</definedName>
    <definedName name="Excel_BuiltIn_Print_Area_12" localSheetId="4">#REF!</definedName>
    <definedName name="Excel_BuiltIn_Print_Area_12">#REF!</definedName>
    <definedName name="Excel_BuiltIn_Print_Area_13" localSheetId="1">#REF!</definedName>
    <definedName name="Excel_BuiltIn_Print_Area_13" localSheetId="4">#REF!</definedName>
    <definedName name="Excel_BuiltIn_Print_Area_13">#REF!</definedName>
    <definedName name="Excel_BuiltIn_Print_Area_13_1" localSheetId="1">#REF!</definedName>
    <definedName name="Excel_BuiltIn_Print_Area_13_1" localSheetId="4">#REF!</definedName>
    <definedName name="Excel_BuiltIn_Print_Area_13_1">#REF!</definedName>
    <definedName name="Excel_BuiltIn_Print_Area_13_1_3" localSheetId="1">#REF!</definedName>
    <definedName name="Excel_BuiltIn_Print_Area_13_1_3" localSheetId="4">#REF!</definedName>
    <definedName name="Excel_BuiltIn_Print_Area_13_1_3">#REF!</definedName>
    <definedName name="Excel_BuiltIn_Print_Area_16">"$#REF!.$A$1:$H$233"</definedName>
    <definedName name="Excel_BuiltIn_Print_Area_17">"$#REF!.$A$1:$G$23"</definedName>
    <definedName name="Excel_BuiltIn_Print_Area_2">"$#REF!.$A$1:$AO$54"</definedName>
    <definedName name="Excel_BuiltIn_Print_Area_2_1_1" localSheetId="1">#REF!</definedName>
    <definedName name="Excel_BuiltIn_Print_Area_2_1_1" localSheetId="4">#REF!</definedName>
    <definedName name="Excel_BuiltIn_Print_Area_2_1_1">#REF!</definedName>
    <definedName name="Excel_BuiltIn_Print_Area_2_1_1_1" localSheetId="1">#REF!</definedName>
    <definedName name="Excel_BuiltIn_Print_Area_2_1_1_1" localSheetId="4">#REF!</definedName>
    <definedName name="Excel_BuiltIn_Print_Area_2_1_1_1">#REF!</definedName>
    <definedName name="Excel_BuiltIn_Print_Area_2_1_1_1_1">"$#REF!.$A$1:$F$2467"</definedName>
    <definedName name="Excel_BuiltIn_Print_Area_2_1_10" localSheetId="1">#REF!</definedName>
    <definedName name="Excel_BuiltIn_Print_Area_2_1_10" localSheetId="4">#REF!</definedName>
    <definedName name="Excel_BuiltIn_Print_Area_2_1_10">#REF!</definedName>
    <definedName name="Excel_BuiltIn_Print_Area_2_1_11" localSheetId="1">#REF!</definedName>
    <definedName name="Excel_BuiltIn_Print_Area_2_1_11" localSheetId="4">#REF!</definedName>
    <definedName name="Excel_BuiltIn_Print_Area_2_1_11">#REF!</definedName>
    <definedName name="Excel_BuiltIn_Print_Area_2_1_2" localSheetId="1">#REF!</definedName>
    <definedName name="Excel_BuiltIn_Print_Area_2_1_2" localSheetId="4">#REF!</definedName>
    <definedName name="Excel_BuiltIn_Print_Area_2_1_2">#REF!</definedName>
    <definedName name="Excel_BuiltIn_Print_Area_2_1_3" localSheetId="1">#REF!</definedName>
    <definedName name="Excel_BuiltIn_Print_Area_2_1_3" localSheetId="4">#REF!</definedName>
    <definedName name="Excel_BuiltIn_Print_Area_2_1_3">#REF!</definedName>
    <definedName name="Excel_BuiltIn_Print_Area_2_1_9" localSheetId="1">#REF!</definedName>
    <definedName name="Excel_BuiltIn_Print_Area_2_1_9" localSheetId="4">#REF!</definedName>
    <definedName name="Excel_BuiltIn_Print_Area_2_1_9">#REF!</definedName>
    <definedName name="Excel_BuiltIn_Print_Area_3" localSheetId="1">#REF!</definedName>
    <definedName name="Excel_BuiltIn_Print_Area_3" localSheetId="4">#REF!</definedName>
    <definedName name="Excel_BuiltIn_Print_Area_3">#REF!</definedName>
    <definedName name="Excel_BuiltIn_Print_Area_3_1_1" localSheetId="1">#REF!</definedName>
    <definedName name="Excel_BuiltIn_Print_Area_3_1_1" localSheetId="4">#REF!</definedName>
    <definedName name="Excel_BuiltIn_Print_Area_3_1_1">#REF!</definedName>
    <definedName name="Excel_BuiltIn_Print_Area_3_1_1_1" localSheetId="1">#REF!</definedName>
    <definedName name="Excel_BuiltIn_Print_Area_3_1_1_1" localSheetId="4">#REF!</definedName>
    <definedName name="Excel_BuiltIn_Print_Area_3_1_1_1">#REF!</definedName>
    <definedName name="Excel_BuiltIn_Print_Area_3_1_1_1_1" localSheetId="1">#REF!</definedName>
    <definedName name="Excel_BuiltIn_Print_Area_3_1_1_1_1" localSheetId="4">#REF!</definedName>
    <definedName name="Excel_BuiltIn_Print_Area_3_1_1_1_1">#REF!</definedName>
    <definedName name="Excel_BuiltIn_Print_Area_3_1_1_1_1_1" localSheetId="1">#REF!</definedName>
    <definedName name="Excel_BuiltIn_Print_Area_3_1_1_1_1_1" localSheetId="4">#REF!</definedName>
    <definedName name="Excel_BuiltIn_Print_Area_3_1_1_1_1_1">#REF!</definedName>
    <definedName name="Excel_BuiltIn_Print_Area_3_1_1_1_2" localSheetId="1">#REF!</definedName>
    <definedName name="Excel_BuiltIn_Print_Area_3_1_1_1_2" localSheetId="4">#REF!</definedName>
    <definedName name="Excel_BuiltIn_Print_Area_3_1_1_1_2">#REF!</definedName>
    <definedName name="Excel_BuiltIn_Print_Area_3_1_1_1_2_1" localSheetId="1">#REF!</definedName>
    <definedName name="Excel_BuiltIn_Print_Area_3_1_1_1_2_1" localSheetId="4">#REF!</definedName>
    <definedName name="Excel_BuiltIn_Print_Area_3_1_1_1_2_1">#REF!</definedName>
    <definedName name="Excel_BuiltIn_Print_Area_3_1_1_10" localSheetId="1">#REF!</definedName>
    <definedName name="Excel_BuiltIn_Print_Area_3_1_1_10" localSheetId="4">#REF!</definedName>
    <definedName name="Excel_BuiltIn_Print_Area_3_1_1_10">#REF!</definedName>
    <definedName name="Excel_BuiltIn_Print_Area_3_1_1_11" localSheetId="1">#REF!</definedName>
    <definedName name="Excel_BuiltIn_Print_Area_3_1_1_11" localSheetId="4">#REF!</definedName>
    <definedName name="Excel_BuiltIn_Print_Area_3_1_1_11">#REF!</definedName>
    <definedName name="Excel_BuiltIn_Print_Area_3_1_1_2" localSheetId="1">#REF!</definedName>
    <definedName name="Excel_BuiltIn_Print_Area_3_1_1_2" localSheetId="4">#REF!</definedName>
    <definedName name="Excel_BuiltIn_Print_Area_3_1_1_2">#REF!</definedName>
    <definedName name="Excel_BuiltIn_Print_Area_3_1_1_6" localSheetId="1">#REF!</definedName>
    <definedName name="Excel_BuiltIn_Print_Area_3_1_1_6" localSheetId="4">#REF!</definedName>
    <definedName name="Excel_BuiltIn_Print_Area_3_1_1_6">#REF!</definedName>
    <definedName name="Excel_BuiltIn_Print_Area_3_1_1_8" localSheetId="1">#REF!</definedName>
    <definedName name="Excel_BuiltIn_Print_Area_3_1_1_8" localSheetId="4">#REF!</definedName>
    <definedName name="Excel_BuiltIn_Print_Area_3_1_1_8">#REF!</definedName>
    <definedName name="Excel_BuiltIn_Print_Area_3_1_1_9" localSheetId="1">#REF!</definedName>
    <definedName name="Excel_BuiltIn_Print_Area_3_1_1_9" localSheetId="4">#REF!</definedName>
    <definedName name="Excel_BuiltIn_Print_Area_3_1_1_9">#REF!</definedName>
    <definedName name="Excel_BuiltIn_Print_Area_3_1_10" localSheetId="1">#REF!</definedName>
    <definedName name="Excel_BuiltIn_Print_Area_3_1_10" localSheetId="4">#REF!</definedName>
    <definedName name="Excel_BuiltIn_Print_Area_3_1_10">#REF!</definedName>
    <definedName name="Excel_BuiltIn_Print_Area_3_1_11" localSheetId="1">#REF!</definedName>
    <definedName name="Excel_BuiltIn_Print_Area_3_1_11" localSheetId="4">#REF!</definedName>
    <definedName name="Excel_BuiltIn_Print_Area_3_1_11">#REF!</definedName>
    <definedName name="Excel_BuiltIn_Print_Area_3_1_2" localSheetId="1">#REF!</definedName>
    <definedName name="Excel_BuiltIn_Print_Area_3_1_2" localSheetId="4">#REF!</definedName>
    <definedName name="Excel_BuiltIn_Print_Area_3_1_2">#REF!</definedName>
    <definedName name="Excel_BuiltIn_Print_Area_3_1_3" localSheetId="1">#REF!</definedName>
    <definedName name="Excel_BuiltIn_Print_Area_3_1_3" localSheetId="4">#REF!</definedName>
    <definedName name="Excel_BuiltIn_Print_Area_3_1_3">#REF!</definedName>
    <definedName name="Excel_BuiltIn_Print_Area_3_1_6" localSheetId="1">#REF!</definedName>
    <definedName name="Excel_BuiltIn_Print_Area_3_1_6" localSheetId="4">#REF!</definedName>
    <definedName name="Excel_BuiltIn_Print_Area_3_1_6">#REF!</definedName>
    <definedName name="Excel_BuiltIn_Print_Area_3_1_8" localSheetId="1">#REF!</definedName>
    <definedName name="Excel_BuiltIn_Print_Area_3_1_8" localSheetId="4">#REF!</definedName>
    <definedName name="Excel_BuiltIn_Print_Area_3_1_8">#REF!</definedName>
    <definedName name="Excel_BuiltIn_Print_Area_3_1_9" localSheetId="1">#REF!</definedName>
    <definedName name="Excel_BuiltIn_Print_Area_3_1_9" localSheetId="4">#REF!</definedName>
    <definedName name="Excel_BuiltIn_Print_Area_3_1_9">#REF!</definedName>
    <definedName name="Excel_BuiltIn_Print_Area_4" localSheetId="1">#REF!</definedName>
    <definedName name="Excel_BuiltIn_Print_Area_4" localSheetId="4">#REF!</definedName>
    <definedName name="Excel_BuiltIn_Print_Area_4">#REF!</definedName>
    <definedName name="Excel_BuiltIn_Print_Area_4_1" localSheetId="1">#REF!</definedName>
    <definedName name="Excel_BuiltIn_Print_Area_4_1" localSheetId="4">#REF!</definedName>
    <definedName name="Excel_BuiltIn_Print_Area_4_1">#REF!</definedName>
    <definedName name="Excel_BuiltIn_Print_Area_4_1_1" localSheetId="1">#REF!</definedName>
    <definedName name="Excel_BuiltIn_Print_Area_4_1_1" localSheetId="4">#REF!</definedName>
    <definedName name="Excel_BuiltIn_Print_Area_4_1_1">#REF!</definedName>
    <definedName name="Excel_BuiltIn_Print_Area_4_1_2" localSheetId="1">#REF!</definedName>
    <definedName name="Excel_BuiltIn_Print_Area_4_1_2" localSheetId="4">#REF!</definedName>
    <definedName name="Excel_BuiltIn_Print_Area_4_1_2">#REF!</definedName>
    <definedName name="Excel_BuiltIn_Print_Area_4_1_3" localSheetId="1">#REF!</definedName>
    <definedName name="Excel_BuiltIn_Print_Area_4_1_3" localSheetId="4">#REF!</definedName>
    <definedName name="Excel_BuiltIn_Print_Area_4_1_3">#REF!</definedName>
    <definedName name="Excel_BuiltIn_Print_Area_5" localSheetId="1">#REF!</definedName>
    <definedName name="Excel_BuiltIn_Print_Area_5" localSheetId="4">#REF!</definedName>
    <definedName name="Excel_BuiltIn_Print_Area_5">#REF!</definedName>
    <definedName name="Excel_BuiltIn_Print_Area_5_1" localSheetId="1">#REF!</definedName>
    <definedName name="Excel_BuiltIn_Print_Area_5_1" localSheetId="4">#REF!</definedName>
    <definedName name="Excel_BuiltIn_Print_Area_5_1">#REF!</definedName>
    <definedName name="Excel_BuiltIn_Print_Area_6" localSheetId="1">#REF!</definedName>
    <definedName name="Excel_BuiltIn_Print_Area_6" localSheetId="4">#REF!</definedName>
    <definedName name="Excel_BuiltIn_Print_Area_6">#REF!</definedName>
    <definedName name="Excel_BuiltIn_Print_Area_9" localSheetId="1">#REF!</definedName>
    <definedName name="Excel_BuiltIn_Print_Area_9" localSheetId="4">#REF!</definedName>
    <definedName name="Excel_BuiltIn_Print_Area_9">#REF!</definedName>
    <definedName name="Excel_BuiltIn_Print_Area_9_1" localSheetId="1">#REF!</definedName>
    <definedName name="Excel_BuiltIn_Print_Area_9_1" localSheetId="4">#REF!</definedName>
    <definedName name="Excel_BuiltIn_Print_Area_9_1">#REF!</definedName>
    <definedName name="Excel_BuiltIn_Print_Area_9_1_1" localSheetId="1">#REF!</definedName>
    <definedName name="Excel_BuiltIn_Print_Area_9_1_1" localSheetId="4">#REF!</definedName>
    <definedName name="Excel_BuiltIn_Print_Area_9_1_1">#REF!</definedName>
    <definedName name="Excel_BuiltIn_Print_Titles_1">"$Capa.$#REF!$#REF!:$#REF!$#REF!"</definedName>
    <definedName name="Excel_BuiltIn_Print_Titles_1_1" localSheetId="1">#REF!</definedName>
    <definedName name="Excel_BuiltIn_Print_Titles_1_1" localSheetId="4">#REF!</definedName>
    <definedName name="Excel_BuiltIn_Print_Titles_1_1">#REF!</definedName>
    <definedName name="Excel_BuiltIn_Print_Titles_1_1_1" localSheetId="1">#REF!</definedName>
    <definedName name="Excel_BuiltIn_Print_Titles_1_1_1" localSheetId="4">#REF!</definedName>
    <definedName name="Excel_BuiltIn_Print_Titles_1_1_1">#REF!</definedName>
    <definedName name="Excel_BuiltIn_Print_Titles_1_1_3" localSheetId="1">#REF!</definedName>
    <definedName name="Excel_BuiltIn_Print_Titles_1_1_3" localSheetId="4">#REF!</definedName>
    <definedName name="Excel_BuiltIn_Print_Titles_1_1_3">#REF!</definedName>
    <definedName name="Excel_BuiltIn_Print_Titles_10" localSheetId="1">#REF!</definedName>
    <definedName name="Excel_BuiltIn_Print_Titles_10" localSheetId="4">#REF!</definedName>
    <definedName name="Excel_BuiltIn_Print_Titles_10">#REF!</definedName>
    <definedName name="Excel_BuiltIn_Print_Titles_10_1">"$BLH_QUA.$A$1:$AMJ$10"</definedName>
    <definedName name="Excel_BuiltIn_Print_Titles_10_3" localSheetId="1">#REF!</definedName>
    <definedName name="Excel_BuiltIn_Print_Titles_10_3" localSheetId="4">#REF!</definedName>
    <definedName name="Excel_BuiltIn_Print_Titles_10_3">#REF!</definedName>
    <definedName name="Excel_BuiltIn_Print_Titles_11" localSheetId="1">#REF!</definedName>
    <definedName name="Excel_BuiltIn_Print_Titles_11" localSheetId="4">#REF!</definedName>
    <definedName name="Excel_BuiltIn_Print_Titles_11">#REF!</definedName>
    <definedName name="Excel_BuiltIn_Print_Titles_11_1">"$PA_02CD.$A$1:$AMJ$9"</definedName>
    <definedName name="Excel_BuiltIn_Print_Titles_11_3" localSheetId="1">#REF!</definedName>
    <definedName name="Excel_BuiltIn_Print_Titles_11_3" localSheetId="4">#REF!</definedName>
    <definedName name="Excel_BuiltIn_Print_Titles_11_3">#REF!</definedName>
    <definedName name="Excel_BuiltIn_Print_Titles_12" localSheetId="1">#REF!</definedName>
    <definedName name="Excel_BuiltIn_Print_Titles_12" localSheetId="4">#REF!</definedName>
    <definedName name="Excel_BuiltIn_Print_Titles_12">#REF!</definedName>
    <definedName name="Excel_BuiltIn_Print_Titles_12_1" localSheetId="1">#REF!</definedName>
    <definedName name="Excel_BuiltIn_Print_Titles_12_1" localSheetId="4">#REF!</definedName>
    <definedName name="Excel_BuiltIn_Print_Titles_12_1">#REF!</definedName>
    <definedName name="Excel_BuiltIn_Print_Titles_12_1_1">"$PA_02SD.$A$1:$AMJ$9"</definedName>
    <definedName name="Excel_BuiltIn_Print_Titles_12_1_3">"$PA_02SD.$A$1:$AMJ$9"</definedName>
    <definedName name="Excel_BuiltIn_Print_Titles_12_3" localSheetId="1">#REF!</definedName>
    <definedName name="Excel_BuiltIn_Print_Titles_12_3" localSheetId="4">#REF!</definedName>
    <definedName name="Excel_BuiltIn_Print_Titles_12_3">#REF!</definedName>
    <definedName name="Excel_BuiltIn_Print_Titles_13" localSheetId="1">#REF!</definedName>
    <definedName name="Excel_BuiltIn_Print_Titles_13" localSheetId="4">#REF!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" localSheetId="1">#REF!</definedName>
    <definedName name="Excel_BuiltIn_Print_Titles_2" localSheetId="4">#REF!</definedName>
    <definedName name="Excel_BuiltIn_Print_Titles_2">#REF!</definedName>
    <definedName name="Excel_BuiltIn_Print_Titles_2_1" localSheetId="1">#REF!</definedName>
    <definedName name="Excel_BuiltIn_Print_Titles_2_1" localSheetId="4">#REF!</definedName>
    <definedName name="Excel_BuiltIn_Print_Titles_2_1">#REF!</definedName>
    <definedName name="Excel_BuiltIn_Print_Titles_2_1_1" localSheetId="1">#REF!</definedName>
    <definedName name="Excel_BuiltIn_Print_Titles_2_1_1" localSheetId="4">#REF!</definedName>
    <definedName name="Excel_BuiltIn_Print_Titles_2_1_1">#REF!</definedName>
    <definedName name="Excel_BuiltIn_Print_Titles_2_1_1_1" localSheetId="1">#REF!</definedName>
    <definedName name="Excel_BuiltIn_Print_Titles_2_1_1_1" localSheetId="4">#REF!</definedName>
    <definedName name="Excel_BuiltIn_Print_Titles_2_1_1_1">#REF!</definedName>
    <definedName name="Excel_BuiltIn_Print_Titles_2_1_1_1_1">"$#REF!.$A$1:$AMJ$6"</definedName>
    <definedName name="Excel_BuiltIn_Print_Titles_2_1_1_2">([1]PLO!$A$1:$M$64829,[1]PLO!$A$1:$IV$13)</definedName>
    <definedName name="Excel_BuiltIn_Print_Titles_2_1_1_3">([2]PLO!$A$1:$M$64829,[2]PLO!$A$1:$IV$13)</definedName>
    <definedName name="Excel_BuiltIn_Print_Titles_2_1_10" localSheetId="1">(#REF!,#REF!)</definedName>
    <definedName name="Excel_BuiltIn_Print_Titles_2_1_10" localSheetId="4">(#REF!,#REF!)</definedName>
    <definedName name="Excel_BuiltIn_Print_Titles_2_1_10">(#REF!,#REF!)</definedName>
    <definedName name="Excel_BuiltIn_Print_Titles_2_1_11" localSheetId="1">(#REF!,#REF!)</definedName>
    <definedName name="Excel_BuiltIn_Print_Titles_2_1_11" localSheetId="4">(#REF!,#REF!)</definedName>
    <definedName name="Excel_BuiltIn_Print_Titles_2_1_11">(#REF!,#REF!)</definedName>
    <definedName name="Excel_BuiltIn_Print_Titles_2_1_2">([3]PLO!$A$1:$M$64829,[3]PLO!$A$1:$IV$13)</definedName>
    <definedName name="Excel_BuiltIn_Print_Titles_2_1_2_1">([2]PLO!$A$1:$M$64829,[2]PLO!$A$1:$IV$13)</definedName>
    <definedName name="Excel_BuiltIn_Print_Titles_2_1_3" localSheetId="1">(#REF!,#REF!)</definedName>
    <definedName name="Excel_BuiltIn_Print_Titles_2_1_3" localSheetId="4">(#REF!,#REF!)</definedName>
    <definedName name="Excel_BuiltIn_Print_Titles_2_1_3">(#REF!,#REF!)</definedName>
    <definedName name="Excel_BuiltIn_Print_Titles_2_1_4">([2]PLO!$A$1:$M$64829,[2]PLO!$A$1:$IV$13)</definedName>
    <definedName name="Excel_BuiltIn_Print_Titles_2_1_5">([2]PLO!$A$1:$M$64829,[2]PLO!$A$1:$IV$13)</definedName>
    <definedName name="Excel_BuiltIn_Print_Titles_2_1_6">([2]PLO!$A$1:$M$64829,[2]PLO!$A$1:$IV$13)</definedName>
    <definedName name="Excel_BuiltIn_Print_Titles_2_1_7">([2]PLO!$A$1:$M$64829,[2]PLO!$A$1:$IV$13)</definedName>
    <definedName name="Excel_BuiltIn_Print_Titles_2_1_8">([2]PLO!$A$1:$M$64829,[2]PLO!$A$1:$IV$13)</definedName>
    <definedName name="Excel_BuiltIn_Print_Titles_2_1_9" localSheetId="1">(#REF!,#REF!)</definedName>
    <definedName name="Excel_BuiltIn_Print_Titles_2_1_9" localSheetId="4">(#REF!,#REF!)</definedName>
    <definedName name="Excel_BuiltIn_Print_Titles_2_1_9">(#REF!,#REF!)</definedName>
    <definedName name="Excel_BuiltIn_Print_Titles_2_3" localSheetId="1">#REF!</definedName>
    <definedName name="Excel_BuiltIn_Print_Titles_2_3" localSheetId="4">#REF!</definedName>
    <definedName name="Excel_BuiltIn_Print_Titles_2_3">#REF!</definedName>
    <definedName name="Excel_BuiltIn_Print_Titles_2_4">"$#REF!.$A$1:$M$65367;$#REF!.$A$1:$IV$13"</definedName>
    <definedName name="Excel_BuiltIn_Print_Titles_3" localSheetId="1">#REF!</definedName>
    <definedName name="Excel_BuiltIn_Print_Titles_3" localSheetId="4">#REF!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3_1_1_1" localSheetId="1">#REF!</definedName>
    <definedName name="Excel_BuiltIn_Print_Titles_3_1_1_1" localSheetId="4">#REF!</definedName>
    <definedName name="Excel_BuiltIn_Print_Titles_3_1_1_1">#REF!</definedName>
    <definedName name="Excel_BuiltIn_Print_Titles_3_1_1_1_1">"$BLB_AU_BI.$A$1:$AMJ$1"</definedName>
    <definedName name="Excel_BuiltIn_Print_Titles_3_1_1_2" localSheetId="1">#REF!</definedName>
    <definedName name="Excel_BuiltIn_Print_Titles_3_1_1_2" localSheetId="4">#REF!</definedName>
    <definedName name="Excel_BuiltIn_Print_Titles_3_1_1_2">#REF!</definedName>
    <definedName name="Excel_BuiltIn_Print_Titles_3_1_1_3" localSheetId="1">#REF!</definedName>
    <definedName name="Excel_BuiltIn_Print_Titles_3_1_1_3" localSheetId="4">#REF!</definedName>
    <definedName name="Excel_BuiltIn_Print_Titles_3_1_1_3">#REF!</definedName>
    <definedName name="Excel_BuiltIn_Print_Titles_3_1_10" localSheetId="1">#REF!</definedName>
    <definedName name="Excel_BuiltIn_Print_Titles_3_1_10" localSheetId="4">#REF!</definedName>
    <definedName name="Excel_BuiltIn_Print_Titles_3_1_10">#REF!</definedName>
    <definedName name="Excel_BuiltIn_Print_Titles_3_1_11" localSheetId="1">#REF!</definedName>
    <definedName name="Excel_BuiltIn_Print_Titles_3_1_11" localSheetId="4">#REF!</definedName>
    <definedName name="Excel_BuiltIn_Print_Titles_3_1_11">#REF!</definedName>
    <definedName name="Excel_BuiltIn_Print_Titles_3_1_2" localSheetId="1">#REF!</definedName>
    <definedName name="Excel_BuiltIn_Print_Titles_3_1_2" localSheetId="4">#REF!</definedName>
    <definedName name="Excel_BuiltIn_Print_Titles_3_1_2">#REF!</definedName>
    <definedName name="Excel_BuiltIn_Print_Titles_3_1_3" localSheetId="1">#REF!</definedName>
    <definedName name="Excel_BuiltIn_Print_Titles_3_1_3" localSheetId="4">#REF!</definedName>
    <definedName name="Excel_BuiltIn_Print_Titles_3_1_3">#REF!</definedName>
    <definedName name="Excel_BuiltIn_Print_Titles_3_1_6" localSheetId="1">#REF!</definedName>
    <definedName name="Excel_BuiltIn_Print_Titles_3_1_6" localSheetId="4">#REF!</definedName>
    <definedName name="Excel_BuiltIn_Print_Titles_3_1_6">#REF!</definedName>
    <definedName name="Excel_BuiltIn_Print_Titles_3_1_8" localSheetId="1">#REF!</definedName>
    <definedName name="Excel_BuiltIn_Print_Titles_3_1_8" localSheetId="4">#REF!</definedName>
    <definedName name="Excel_BuiltIn_Print_Titles_3_1_8">#REF!</definedName>
    <definedName name="Excel_BuiltIn_Print_Titles_3_1_9" localSheetId="1">#REF!</definedName>
    <definedName name="Excel_BuiltIn_Print_Titles_3_1_9" localSheetId="4">#REF!</definedName>
    <definedName name="Excel_BuiltIn_Print_Titles_3_1_9">#REF!</definedName>
    <definedName name="Excel_BuiltIn_Print_Titles_3_2" localSheetId="1">#REF!</definedName>
    <definedName name="Excel_BuiltIn_Print_Titles_3_2" localSheetId="4">#REF!</definedName>
    <definedName name="Excel_BuiltIn_Print_Titles_3_2">#REF!</definedName>
    <definedName name="Excel_BuiltIn_Print_Titles_3_3" localSheetId="1">#REF!</definedName>
    <definedName name="Excel_BuiltIn_Print_Titles_3_3" localSheetId="4">#REF!</definedName>
    <definedName name="Excel_BuiltIn_Print_Titles_3_3">#REF!</definedName>
    <definedName name="Excel_BuiltIn_Print_Titles_3_5" localSheetId="1">#REF!</definedName>
    <definedName name="Excel_BuiltIn_Print_Titles_3_5" localSheetId="4">#REF!</definedName>
    <definedName name="Excel_BuiltIn_Print_Titles_3_5">#REF!</definedName>
    <definedName name="Excel_BuiltIn_Print_Titles_3_6" localSheetId="1">#REF!</definedName>
    <definedName name="Excel_BuiltIn_Print_Titles_3_6" localSheetId="4">#REF!</definedName>
    <definedName name="Excel_BuiltIn_Print_Titles_3_6">#REF!</definedName>
    <definedName name="Excel_BuiltIn_Print_Titles_3_8" localSheetId="1">#REF!</definedName>
    <definedName name="Excel_BuiltIn_Print_Titles_3_8" localSheetId="4">#REF!</definedName>
    <definedName name="Excel_BuiltIn_Print_Titles_3_8">#REF!</definedName>
    <definedName name="Excel_BuiltIn_Print_Titles_4" localSheetId="1">#REF!</definedName>
    <definedName name="Excel_BuiltIn_Print_Titles_4" localSheetId="4">#REF!</definedName>
    <definedName name="Excel_BuiltIn_Print_Titles_4">#REF!</definedName>
    <definedName name="Excel_BuiltIn_Print_Titles_4_1">"$BLB_AU_BI.$A$1:$AMJ$8"</definedName>
    <definedName name="Excel_BuiltIn_Print_Titles_4_1_1">"$BLB_AU_BI.$A$1:$AMJ$8"</definedName>
    <definedName name="Excel_BuiltIn_Print_Titles_4_1_2" localSheetId="1">#REF!</definedName>
    <definedName name="Excel_BuiltIn_Print_Titles_4_1_2" localSheetId="4">#REF!</definedName>
    <definedName name="Excel_BuiltIn_Print_Titles_4_1_2">#REF!</definedName>
    <definedName name="Excel_BuiltIn_Print_Titles_4_1_3" localSheetId="1">#REF!</definedName>
    <definedName name="Excel_BuiltIn_Print_Titles_4_1_3" localSheetId="4">#REF!</definedName>
    <definedName name="Excel_BuiltIn_Print_Titles_4_1_3">#REF!</definedName>
    <definedName name="Excel_BuiltIn_Print_Titles_4_3" localSheetId="1">#REF!</definedName>
    <definedName name="Excel_BuiltIn_Print_Titles_4_3" localSheetId="4">#REF!</definedName>
    <definedName name="Excel_BuiltIn_Print_Titles_4_3">#REF!</definedName>
    <definedName name="Excel_BuiltIn_Print_Titles_5" localSheetId="1">#REF!</definedName>
    <definedName name="Excel_BuiltIn_Print_Titles_5" localSheetId="4">#REF!</definedName>
    <definedName name="Excel_BuiltIn_Print_Titles_5">#REF!</definedName>
    <definedName name="Excel_BuiltIn_Print_Titles_5_1">"$BLC_LAB.$A$1:$AMJ$8"</definedName>
    <definedName name="Excel_BuiltIn_Print_Titles_5_3" localSheetId="1">#REF!</definedName>
    <definedName name="Excel_BuiltIn_Print_Titles_5_3" localSheetId="4">#REF!</definedName>
    <definedName name="Excel_BuiltIn_Print_Titles_5_3">#REF!</definedName>
    <definedName name="Excel_BuiltIn_Print_Titles_6" localSheetId="1">#REF!</definedName>
    <definedName name="Excel_BuiltIn_Print_Titles_6" localSheetId="4">#REF!</definedName>
    <definedName name="Excel_BuiltIn_Print_Titles_6">#REF!</definedName>
    <definedName name="Excel_BuiltIn_Print_Titles_6_1">"$BLD_PAT.$A$1:$AMJ$8"</definedName>
    <definedName name="Excel_BuiltIn_Print_Titles_7" localSheetId="1">#REF!</definedName>
    <definedName name="Excel_BuiltIn_Print_Titles_7" localSheetId="4">#REF!</definedName>
    <definedName name="Excel_BuiltIn_Print_Titles_7">#REF!</definedName>
    <definedName name="Excel_BuiltIn_Print_Titles_7_1">"$BLE_4SL_SAN.$A$1:$AMJ$8"</definedName>
    <definedName name="Excel_BuiltIn_Print_Titles_7_3" localSheetId="1">#REF!</definedName>
    <definedName name="Excel_BuiltIn_Print_Titles_7_3" localSheetId="4">#REF!</definedName>
    <definedName name="Excel_BuiltIn_Print_Titles_7_3">#REF!</definedName>
    <definedName name="Excel_BuiltIn_Print_Titles_8" localSheetId="1">#REF!</definedName>
    <definedName name="Excel_BuiltIn_Print_Titles_8" localSheetId="4">#REF!</definedName>
    <definedName name="Excel_BuiltIn_Print_Titles_8">#REF!</definedName>
    <definedName name="Excel_BuiltIn_Print_Titles_8_1">"$BLF_4SL.$A$1:$AMJ$8"</definedName>
    <definedName name="Excel_BuiltIn_Print_Titles_8_1_1" localSheetId="1">(#REF!,#REF!)</definedName>
    <definedName name="Excel_BuiltIn_Print_Titles_8_1_1" localSheetId="4">(#REF!,#REF!)</definedName>
    <definedName name="Excel_BuiltIn_Print_Titles_8_1_1">(#REF!,#REF!)</definedName>
    <definedName name="Excel_BuiltIn_Print_Titles_8_1_1_2" localSheetId="1">(#REF!,#REF!)</definedName>
    <definedName name="Excel_BuiltIn_Print_Titles_8_1_1_2" localSheetId="4">(#REF!,#REF!)</definedName>
    <definedName name="Excel_BuiltIn_Print_Titles_8_1_1_2">(#REF!,#REF!)</definedName>
    <definedName name="Excel_BuiltIn_Print_Titles_8_1_10" localSheetId="1">(#REF!,#REF!)</definedName>
    <definedName name="Excel_BuiltIn_Print_Titles_8_1_10" localSheetId="4">(#REF!,#REF!)</definedName>
    <definedName name="Excel_BuiltIn_Print_Titles_8_1_10">(#REF!,#REF!)</definedName>
    <definedName name="Excel_BuiltIn_Print_Titles_8_1_11" localSheetId="1">(#REF!,#REF!)</definedName>
    <definedName name="Excel_BuiltIn_Print_Titles_8_1_11" localSheetId="4">(#REF!,#REF!)</definedName>
    <definedName name="Excel_BuiltIn_Print_Titles_8_1_11">(#REF!,#REF!)</definedName>
    <definedName name="Excel_BuiltIn_Print_Titles_8_1_3" localSheetId="1">(#REF!,#REF!)</definedName>
    <definedName name="Excel_BuiltIn_Print_Titles_8_1_3" localSheetId="4">(#REF!,#REF!)</definedName>
    <definedName name="Excel_BuiltIn_Print_Titles_8_1_3">(#REF!,#REF!)</definedName>
    <definedName name="Excel_BuiltIn_Print_Titles_8_1_6" localSheetId="1">(#REF!,#REF!)</definedName>
    <definedName name="Excel_BuiltIn_Print_Titles_8_1_6" localSheetId="4">(#REF!,#REF!)</definedName>
    <definedName name="Excel_BuiltIn_Print_Titles_8_1_6">(#REF!,#REF!)</definedName>
    <definedName name="Excel_BuiltIn_Print_Titles_8_1_8" localSheetId="1">(#REF!,#REF!)</definedName>
    <definedName name="Excel_BuiltIn_Print_Titles_8_1_8" localSheetId="4">(#REF!,#REF!)</definedName>
    <definedName name="Excel_BuiltIn_Print_Titles_8_1_8">(#REF!,#REF!)</definedName>
    <definedName name="Excel_BuiltIn_Print_Titles_8_1_9" localSheetId="1">(#REF!,#REF!)</definedName>
    <definedName name="Excel_BuiltIn_Print_Titles_8_1_9" localSheetId="4">(#REF!,#REF!)</definedName>
    <definedName name="Excel_BuiltIn_Print_Titles_8_1_9">(#REF!,#REF!)</definedName>
    <definedName name="Excel_BuiltIn_Print_Titles_8_3" localSheetId="1">#REF!</definedName>
    <definedName name="Excel_BuiltIn_Print_Titles_8_3" localSheetId="4">#REF!</definedName>
    <definedName name="Excel_BuiltIn_Print_Titles_8_3">#REF!</definedName>
    <definedName name="Excel_BuiltIn_Print_Titles_9" localSheetId="1">#REF!</definedName>
    <definedName name="Excel_BuiltIn_Print_Titles_9" localSheetId="4">#REF!</definedName>
    <definedName name="Excel_BuiltIn_Print_Titles_9">#REF!</definedName>
    <definedName name="Excel_BuiltIn_Print_Titles_9_1">"$BLG_VES.$A$1:$AMJ$10"</definedName>
    <definedName name="Excel_BuiltIn_Print_Titles_9_3" localSheetId="1">#REF!</definedName>
    <definedName name="Excel_BuiltIn_Print_Titles_9_3" localSheetId="4">#REF!</definedName>
    <definedName name="Excel_BuiltIn_Print_Titles_9_3">#REF!</definedName>
    <definedName name="GFG" localSheetId="1">#REF!</definedName>
    <definedName name="GFG" localSheetId="4">#REF!</definedName>
    <definedName name="GFG">#REF!</definedName>
    <definedName name="GFG_1" localSheetId="1">#REF!</definedName>
    <definedName name="GFG_1" localSheetId="4">#REF!</definedName>
    <definedName name="GFG_1">#REF!</definedName>
    <definedName name="LS">"S"</definedName>
    <definedName name="NLant">5</definedName>
    <definedName name="NLEq">4</definedName>
    <definedName name="NLmin">5</definedName>
    <definedName name="NLMo">6</definedName>
    <definedName name="NLMp">5</definedName>
    <definedName name="NLTr">3</definedName>
    <definedName name="OnOff">"ON"</definedName>
    <definedName name="Salario">1</definedName>
    <definedName name="TipoObra">2</definedName>
    <definedName name="TipoRel">"Vale"</definedName>
  </definedNames>
  <calcPr calcId="124519"/>
</workbook>
</file>

<file path=xl/calcChain.xml><?xml version="1.0" encoding="utf-8"?>
<calcChain xmlns="http://schemas.openxmlformats.org/spreadsheetml/2006/main">
  <c r="F75" i="19"/>
  <c r="F28" i="1"/>
  <c r="E14"/>
  <c r="F12"/>
  <c r="F13" l="1"/>
  <c r="E56" l="1"/>
  <c r="AG75" i="19"/>
  <c r="G75" i="1"/>
  <c r="E75"/>
  <c r="AD86" i="19"/>
  <c r="V86"/>
  <c r="N86"/>
  <c r="AG82"/>
  <c r="F82"/>
  <c r="G82" s="1"/>
  <c r="AB82" s="1"/>
  <c r="AH82" s="1"/>
  <c r="E82"/>
  <c r="AG80"/>
  <c r="F80"/>
  <c r="E80"/>
  <c r="AG79"/>
  <c r="F79"/>
  <c r="E79"/>
  <c r="AG77"/>
  <c r="F77"/>
  <c r="E77"/>
  <c r="E75" s="1"/>
  <c r="G75" s="1"/>
  <c r="AB75" s="1"/>
  <c r="AH75" s="1"/>
  <c r="AG76"/>
  <c r="F76"/>
  <c r="E76"/>
  <c r="AG74"/>
  <c r="F74"/>
  <c r="E74"/>
  <c r="AG73"/>
  <c r="F73"/>
  <c r="E73"/>
  <c r="AG72"/>
  <c r="F72"/>
  <c r="E72"/>
  <c r="AG71"/>
  <c r="F71"/>
  <c r="E71"/>
  <c r="AG70"/>
  <c r="F70"/>
  <c r="E70"/>
  <c r="AG69"/>
  <c r="F69"/>
  <c r="E69"/>
  <c r="AG66"/>
  <c r="F66"/>
  <c r="E66"/>
  <c r="AG65"/>
  <c r="F65"/>
  <c r="E65"/>
  <c r="AG64"/>
  <c r="F64"/>
  <c r="E64"/>
  <c r="AG63"/>
  <c r="E63"/>
  <c r="AG62"/>
  <c r="E62"/>
  <c r="AG61"/>
  <c r="E61"/>
  <c r="AG60"/>
  <c r="E60"/>
  <c r="AG59"/>
  <c r="F59"/>
  <c r="E59"/>
  <c r="AG58"/>
  <c r="E58"/>
  <c r="AG57"/>
  <c r="F57"/>
  <c r="E57"/>
  <c r="AG56"/>
  <c r="F56"/>
  <c r="E56"/>
  <c r="AG55"/>
  <c r="F55"/>
  <c r="E55"/>
  <c r="AG54"/>
  <c r="F54"/>
  <c r="E54"/>
  <c r="AG52"/>
  <c r="F52"/>
  <c r="E52"/>
  <c r="AG51"/>
  <c r="F51"/>
  <c r="E51"/>
  <c r="AG50"/>
  <c r="F50"/>
  <c r="E50"/>
  <c r="AG49"/>
  <c r="F49"/>
  <c r="E49"/>
  <c r="AG48"/>
  <c r="E48"/>
  <c r="AG47"/>
  <c r="F47"/>
  <c r="E47"/>
  <c r="AG46"/>
  <c r="F46"/>
  <c r="E46"/>
  <c r="AG45"/>
  <c r="F45"/>
  <c r="E45"/>
  <c r="AG44"/>
  <c r="AG43"/>
  <c r="E43"/>
  <c r="AG42"/>
  <c r="AG41"/>
  <c r="AG40"/>
  <c r="AG39"/>
  <c r="E39"/>
  <c r="AG37"/>
  <c r="F37"/>
  <c r="E37"/>
  <c r="AG36"/>
  <c r="F36"/>
  <c r="E36"/>
  <c r="AG35"/>
  <c r="F35"/>
  <c r="E35"/>
  <c r="AG34"/>
  <c r="F34"/>
  <c r="E34"/>
  <c r="AG33"/>
  <c r="F33"/>
  <c r="G33" s="1"/>
  <c r="N33" s="1"/>
  <c r="E33"/>
  <c r="AG32"/>
  <c r="F32"/>
  <c r="E32"/>
  <c r="AG31"/>
  <c r="F31"/>
  <c r="E31"/>
  <c r="AG30"/>
  <c r="F30"/>
  <c r="E30"/>
  <c r="AG29"/>
  <c r="F29"/>
  <c r="E29"/>
  <c r="AG28"/>
  <c r="F28"/>
  <c r="E28"/>
  <c r="AG27"/>
  <c r="F27"/>
  <c r="E27"/>
  <c r="AG26"/>
  <c r="F26"/>
  <c r="E26"/>
  <c r="AG25"/>
  <c r="F25"/>
  <c r="E25"/>
  <c r="AG23"/>
  <c r="F23"/>
  <c r="E23"/>
  <c r="AG22"/>
  <c r="F22"/>
  <c r="E22"/>
  <c r="AG21"/>
  <c r="F21"/>
  <c r="AG20"/>
  <c r="F20"/>
  <c r="G20" s="1"/>
  <c r="E20"/>
  <c r="AG19"/>
  <c r="F19"/>
  <c r="E19"/>
  <c r="AG18"/>
  <c r="F18"/>
  <c r="E18"/>
  <c r="AG17"/>
  <c r="F17"/>
  <c r="E17"/>
  <c r="AG16"/>
  <c r="F16"/>
  <c r="E16"/>
  <c r="AG15"/>
  <c r="F15"/>
  <c r="G15" s="1"/>
  <c r="E15"/>
  <c r="AG14"/>
  <c r="F14"/>
  <c r="E14"/>
  <c r="Q13"/>
  <c r="I13"/>
  <c r="AG13" s="1"/>
  <c r="F13"/>
  <c r="E13"/>
  <c r="Q12"/>
  <c r="I12"/>
  <c r="AG12" s="1"/>
  <c r="F12"/>
  <c r="E12"/>
  <c r="AG11"/>
  <c r="F11"/>
  <c r="E11"/>
  <c r="AG10"/>
  <c r="F10"/>
  <c r="E10"/>
  <c r="AG9"/>
  <c r="F9"/>
  <c r="E9"/>
  <c r="AG8"/>
  <c r="F8"/>
  <c r="E8"/>
  <c r="J8" i="18"/>
  <c r="J9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4"/>
  <c r="J5"/>
  <c r="J6" s="1"/>
  <c r="J7" s="1"/>
  <c r="J3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2"/>
  <c r="G71"/>
  <c r="G70"/>
  <c r="B8" i="16"/>
  <c r="I2"/>
  <c r="I3"/>
  <c r="I4"/>
  <c r="Q82" i="1"/>
  <c r="P82"/>
  <c r="J29" i="13"/>
  <c r="J28"/>
  <c r="J27"/>
  <c r="J26"/>
  <c r="J25"/>
  <c r="J24"/>
  <c r="J23"/>
  <c r="J22"/>
  <c r="J21"/>
  <c r="J20"/>
  <c r="K28" i="1"/>
  <c r="L28" s="1"/>
  <c r="K71" i="3"/>
  <c r="N70"/>
  <c r="K32"/>
  <c r="K9"/>
  <c r="F22" i="12"/>
  <c r="F21"/>
  <c r="F20"/>
  <c r="F19"/>
  <c r="F18"/>
  <c r="K77" i="3"/>
  <c r="G11" i="12"/>
  <c r="E67" i="2"/>
  <c r="F81" i="11"/>
  <c r="E81"/>
  <c r="E79"/>
  <c r="F79"/>
  <c r="F78"/>
  <c r="G78" s="1"/>
  <c r="Z78" s="1"/>
  <c r="AH78" s="1"/>
  <c r="E78"/>
  <c r="E70"/>
  <c r="F70"/>
  <c r="E71"/>
  <c r="G71" s="1"/>
  <c r="F71"/>
  <c r="E72"/>
  <c r="G72" s="1"/>
  <c r="Z72" s="1"/>
  <c r="AH72" s="1"/>
  <c r="F72"/>
  <c r="E73"/>
  <c r="F73"/>
  <c r="E74"/>
  <c r="G74" s="1"/>
  <c r="Z74" s="1"/>
  <c r="AH74" s="1"/>
  <c r="F74"/>
  <c r="E75"/>
  <c r="F75"/>
  <c r="E76"/>
  <c r="F76"/>
  <c r="F69"/>
  <c r="E69"/>
  <c r="E55"/>
  <c r="F55"/>
  <c r="E56"/>
  <c r="F56"/>
  <c r="E57"/>
  <c r="G57" s="1"/>
  <c r="F57"/>
  <c r="E58"/>
  <c r="E59"/>
  <c r="F59"/>
  <c r="G59" s="1"/>
  <c r="E60"/>
  <c r="E61"/>
  <c r="E62"/>
  <c r="E63"/>
  <c r="E64"/>
  <c r="F64"/>
  <c r="E65"/>
  <c r="F65"/>
  <c r="E66"/>
  <c r="F66"/>
  <c r="F54"/>
  <c r="E54"/>
  <c r="G54" s="1"/>
  <c r="N54" s="1"/>
  <c r="AH54" s="1"/>
  <c r="E43"/>
  <c r="E45"/>
  <c r="F45"/>
  <c r="E46"/>
  <c r="F46"/>
  <c r="E47"/>
  <c r="F47"/>
  <c r="E48"/>
  <c r="E49"/>
  <c r="F49"/>
  <c r="E50"/>
  <c r="F50"/>
  <c r="E51"/>
  <c r="F51"/>
  <c r="E52"/>
  <c r="F52"/>
  <c r="E39"/>
  <c r="E26"/>
  <c r="F26"/>
  <c r="E27"/>
  <c r="G27" s="1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F25"/>
  <c r="E25"/>
  <c r="E9"/>
  <c r="F9"/>
  <c r="E10"/>
  <c r="F10"/>
  <c r="E11"/>
  <c r="F11"/>
  <c r="E12"/>
  <c r="G12" s="1"/>
  <c r="F12"/>
  <c r="E13"/>
  <c r="G13" s="1"/>
  <c r="F13"/>
  <c r="E14"/>
  <c r="F14"/>
  <c r="E15"/>
  <c r="F15"/>
  <c r="E16"/>
  <c r="F16"/>
  <c r="E17"/>
  <c r="F17"/>
  <c r="E18"/>
  <c r="F18"/>
  <c r="E19"/>
  <c r="F19"/>
  <c r="E20"/>
  <c r="G20" s="1"/>
  <c r="F20"/>
  <c r="F21"/>
  <c r="E22"/>
  <c r="F22"/>
  <c r="E23"/>
  <c r="F23"/>
  <c r="F8"/>
  <c r="E8"/>
  <c r="AG8"/>
  <c r="AG9"/>
  <c r="AG10"/>
  <c r="AG11"/>
  <c r="I12"/>
  <c r="Q12"/>
  <c r="I13"/>
  <c r="Q13"/>
  <c r="AG13"/>
  <c r="AD85"/>
  <c r="V85"/>
  <c r="N85"/>
  <c r="AG81"/>
  <c r="AG79"/>
  <c r="AG78"/>
  <c r="AG76"/>
  <c r="AG75"/>
  <c r="AG74"/>
  <c r="AG73"/>
  <c r="AG72"/>
  <c r="AG71"/>
  <c r="AG70"/>
  <c r="AG69"/>
  <c r="AG66"/>
  <c r="AG65"/>
  <c r="AG64"/>
  <c r="AG63"/>
  <c r="AG62"/>
  <c r="AG61"/>
  <c r="AG60"/>
  <c r="AG59"/>
  <c r="AG58"/>
  <c r="AG57"/>
  <c r="AG56"/>
  <c r="AG55"/>
  <c r="AG54"/>
  <c r="AG52"/>
  <c r="AG51"/>
  <c r="AG50"/>
  <c r="AG49"/>
  <c r="AG48"/>
  <c r="AG47"/>
  <c r="AG46"/>
  <c r="AG45"/>
  <c r="AG44"/>
  <c r="AG43"/>
  <c r="AG42"/>
  <c r="AG41"/>
  <c r="AG40"/>
  <c r="AG39"/>
  <c r="AG37"/>
  <c r="AG36"/>
  <c r="AG35"/>
  <c r="AG34"/>
  <c r="AG33"/>
  <c r="AG32"/>
  <c r="AG31"/>
  <c r="AG30"/>
  <c r="AG29"/>
  <c r="AG28"/>
  <c r="AG27"/>
  <c r="AG26"/>
  <c r="AG25"/>
  <c r="AG23"/>
  <c r="AG22"/>
  <c r="AG21"/>
  <c r="AG20"/>
  <c r="AG19"/>
  <c r="AG18"/>
  <c r="AG17"/>
  <c r="AG16"/>
  <c r="AG15"/>
  <c r="AG14"/>
  <c r="G81"/>
  <c r="AB81" s="1"/>
  <c r="AH81" s="1"/>
  <c r="G25"/>
  <c r="L25" s="1"/>
  <c r="AH25" s="1"/>
  <c r="E21" i="1"/>
  <c r="E21" i="11" s="1"/>
  <c r="E15" i="1"/>
  <c r="I23" i="2"/>
  <c r="E73" i="1"/>
  <c r="E85" i="2"/>
  <c r="E44" i="1"/>
  <c r="E44" i="11" s="1"/>
  <c r="E42" i="1"/>
  <c r="E42" i="11" s="1"/>
  <c r="E41" i="1"/>
  <c r="E41" i="11" s="1"/>
  <c r="E40" i="1"/>
  <c r="E40" i="11" s="1"/>
  <c r="E16" i="1"/>
  <c r="E58"/>
  <c r="E23"/>
  <c r="I24" i="2"/>
  <c r="M23" i="1"/>
  <c r="I21"/>
  <c r="I22"/>
  <c r="I23"/>
  <c r="K23"/>
  <c r="J47" i="2"/>
  <c r="E71" i="1"/>
  <c r="E83" i="2"/>
  <c r="E82"/>
  <c r="E70" i="1"/>
  <c r="E27"/>
  <c r="J30" i="2"/>
  <c r="K68" i="1"/>
  <c r="G59"/>
  <c r="G14" i="19" l="1"/>
  <c r="G52"/>
  <c r="V52" s="1"/>
  <c r="AH52" s="1"/>
  <c r="G76" i="11"/>
  <c r="G74" i="19"/>
  <c r="Z74" s="1"/>
  <c r="AH74" s="1"/>
  <c r="G71"/>
  <c r="G59"/>
  <c r="Z59" s="1"/>
  <c r="G50"/>
  <c r="V50" s="1"/>
  <c r="AH50" s="1"/>
  <c r="G29" i="11"/>
  <c r="G51"/>
  <c r="V51" s="1"/>
  <c r="AH51" s="1"/>
  <c r="G49"/>
  <c r="G66"/>
  <c r="G64"/>
  <c r="G70"/>
  <c r="G8" i="19"/>
  <c r="G28"/>
  <c r="G36"/>
  <c r="E42"/>
  <c r="G66"/>
  <c r="X66" s="1"/>
  <c r="G72"/>
  <c r="Z72" s="1"/>
  <c r="AH72" s="1"/>
  <c r="G79"/>
  <c r="Z79" s="1"/>
  <c r="AH79" s="1"/>
  <c r="E40"/>
  <c r="G47"/>
  <c r="T47" s="1"/>
  <c r="G29"/>
  <c r="N29" s="1"/>
  <c r="G19" i="11"/>
  <c r="G18" i="19"/>
  <c r="G12"/>
  <c r="Z12" s="1"/>
  <c r="G11"/>
  <c r="J11" s="1"/>
  <c r="AH11" s="1"/>
  <c r="G11" i="11"/>
  <c r="J11" s="1"/>
  <c r="AH11" s="1"/>
  <c r="G10"/>
  <c r="J10" s="1"/>
  <c r="AH10" s="1"/>
  <c r="G10" i="19"/>
  <c r="J10" s="1"/>
  <c r="AH10" s="1"/>
  <c r="G25"/>
  <c r="L25" s="1"/>
  <c r="AH25" s="1"/>
  <c r="G30"/>
  <c r="N30" s="1"/>
  <c r="G34"/>
  <c r="P34" s="1"/>
  <c r="G56"/>
  <c r="L56" s="1"/>
  <c r="G26"/>
  <c r="L26" s="1"/>
  <c r="G31"/>
  <c r="N31" s="1"/>
  <c r="G35"/>
  <c r="N35" s="1"/>
  <c r="G19"/>
  <c r="X19" s="1"/>
  <c r="G55"/>
  <c r="Z55" s="1"/>
  <c r="AH55" s="1"/>
  <c r="G69"/>
  <c r="X69" s="1"/>
  <c r="G80"/>
  <c r="AB80" s="1"/>
  <c r="Z71" i="11"/>
  <c r="X71"/>
  <c r="Z69" i="19"/>
  <c r="N29" i="11"/>
  <c r="P29"/>
  <c r="G23" i="19"/>
  <c r="L23" s="1"/>
  <c r="E44"/>
  <c r="G49"/>
  <c r="G57"/>
  <c r="G73"/>
  <c r="AB73" s="1"/>
  <c r="AH73" s="1"/>
  <c r="G16"/>
  <c r="J16" s="1"/>
  <c r="G45"/>
  <c r="T45" s="1"/>
  <c r="G51"/>
  <c r="V51" s="1"/>
  <c r="AH51" s="1"/>
  <c r="G64"/>
  <c r="X64" s="1"/>
  <c r="G76"/>
  <c r="AB76" s="1"/>
  <c r="G8" i="11"/>
  <c r="J8" s="1"/>
  <c r="AH8" s="1"/>
  <c r="G37"/>
  <c r="R37" s="1"/>
  <c r="G33"/>
  <c r="G69"/>
  <c r="X69" s="1"/>
  <c r="G9" i="19"/>
  <c r="AB9" s="1"/>
  <c r="G13"/>
  <c r="AB13" s="1"/>
  <c r="G17"/>
  <c r="J17" s="1"/>
  <c r="AH17" s="1"/>
  <c r="G22"/>
  <c r="AB22" s="1"/>
  <c r="G27"/>
  <c r="G32"/>
  <c r="N32" s="1"/>
  <c r="G37"/>
  <c r="P37" s="1"/>
  <c r="E41"/>
  <c r="G46"/>
  <c r="V46" s="1"/>
  <c r="G54"/>
  <c r="X59"/>
  <c r="G65"/>
  <c r="X65" s="1"/>
  <c r="G70"/>
  <c r="Z70" s="1"/>
  <c r="G77"/>
  <c r="Z77" s="1"/>
  <c r="J56"/>
  <c r="AH56" s="1"/>
  <c r="E21"/>
  <c r="G21" s="1"/>
  <c r="X21" s="1"/>
  <c r="AH9"/>
  <c r="Z23"/>
  <c r="V23"/>
  <c r="N23"/>
  <c r="AB23"/>
  <c r="Z16"/>
  <c r="R16"/>
  <c r="AB16"/>
  <c r="V16"/>
  <c r="N16"/>
  <c r="X16"/>
  <c r="P16"/>
  <c r="L16"/>
  <c r="N28"/>
  <c r="L28"/>
  <c r="L34"/>
  <c r="N34"/>
  <c r="Z71"/>
  <c r="X71"/>
  <c r="Z80"/>
  <c r="V49"/>
  <c r="T49"/>
  <c r="Z14"/>
  <c r="R14"/>
  <c r="J14"/>
  <c r="AB14"/>
  <c r="V14"/>
  <c r="N14"/>
  <c r="L14"/>
  <c r="X14"/>
  <c r="P14"/>
  <c r="T14"/>
  <c r="R15"/>
  <c r="AB15"/>
  <c r="J15"/>
  <c r="X15"/>
  <c r="AB18"/>
  <c r="R18"/>
  <c r="X18"/>
  <c r="J18"/>
  <c r="Z20"/>
  <c r="R20"/>
  <c r="R36"/>
  <c r="P36"/>
  <c r="V45"/>
  <c r="Z76"/>
  <c r="X13"/>
  <c r="T13"/>
  <c r="N13"/>
  <c r="Z13"/>
  <c r="P30"/>
  <c r="P35"/>
  <c r="L35"/>
  <c r="R22"/>
  <c r="X22"/>
  <c r="J22"/>
  <c r="P32"/>
  <c r="R37"/>
  <c r="T46"/>
  <c r="Z65"/>
  <c r="AB77"/>
  <c r="AH59"/>
  <c r="N12"/>
  <c r="J12"/>
  <c r="X12"/>
  <c r="R19"/>
  <c r="P29"/>
  <c r="AH29" s="1"/>
  <c r="P33"/>
  <c r="AH33" s="1"/>
  <c r="V47"/>
  <c r="AH47" s="1"/>
  <c r="Z66"/>
  <c r="AH66" s="1"/>
  <c r="T12"/>
  <c r="AB19"/>
  <c r="J8"/>
  <c r="P12"/>
  <c r="V12"/>
  <c r="J19"/>
  <c r="AB12"/>
  <c r="L12"/>
  <c r="R12"/>
  <c r="J30" i="13"/>
  <c r="P37" i="11"/>
  <c r="AH29"/>
  <c r="G22"/>
  <c r="J22" s="1"/>
  <c r="G32"/>
  <c r="G23"/>
  <c r="V23" s="1"/>
  <c r="G18"/>
  <c r="AB18" s="1"/>
  <c r="G35"/>
  <c r="P35" s="1"/>
  <c r="G56"/>
  <c r="N56" s="1"/>
  <c r="G75"/>
  <c r="G50"/>
  <c r="V50" s="1"/>
  <c r="AH50" s="1"/>
  <c r="G65"/>
  <c r="G17"/>
  <c r="J17" s="1"/>
  <c r="AH17" s="1"/>
  <c r="G9"/>
  <c r="AB9" s="1"/>
  <c r="AH9" s="1"/>
  <c r="G79"/>
  <c r="G30"/>
  <c r="P30" s="1"/>
  <c r="G52"/>
  <c r="V52" s="1"/>
  <c r="AH52" s="1"/>
  <c r="X70"/>
  <c r="Z70"/>
  <c r="X64"/>
  <c r="AH64" s="1"/>
  <c r="Z64"/>
  <c r="R18"/>
  <c r="AB75"/>
  <c r="Z75"/>
  <c r="AB22"/>
  <c r="L13"/>
  <c r="V13"/>
  <c r="P13"/>
  <c r="Z13"/>
  <c r="N13"/>
  <c r="X13"/>
  <c r="N33"/>
  <c r="P33"/>
  <c r="G73"/>
  <c r="AB73" s="1"/>
  <c r="AH73" s="1"/>
  <c r="G16"/>
  <c r="G14"/>
  <c r="P14" s="1"/>
  <c r="G28"/>
  <c r="L28" s="1"/>
  <c r="G26"/>
  <c r="J26" s="1"/>
  <c r="G46"/>
  <c r="G55"/>
  <c r="Z55" s="1"/>
  <c r="AH55" s="1"/>
  <c r="R13"/>
  <c r="J13"/>
  <c r="G15"/>
  <c r="G36"/>
  <c r="P36" s="1"/>
  <c r="G34"/>
  <c r="P34" s="1"/>
  <c r="G31"/>
  <c r="N31" s="1"/>
  <c r="G47"/>
  <c r="G45"/>
  <c r="T45" s="1"/>
  <c r="P56"/>
  <c r="G21"/>
  <c r="J21" s="1"/>
  <c r="Z79"/>
  <c r="AB79"/>
  <c r="Z76"/>
  <c r="AB76"/>
  <c r="AH71"/>
  <c r="Z69"/>
  <c r="AH69" s="1"/>
  <c r="X59"/>
  <c r="Z59"/>
  <c r="X65"/>
  <c r="Z65"/>
  <c r="Z66"/>
  <c r="X66"/>
  <c r="N57"/>
  <c r="P57"/>
  <c r="T49"/>
  <c r="V49"/>
  <c r="T47"/>
  <c r="V47"/>
  <c r="V46"/>
  <c r="T46"/>
  <c r="N32"/>
  <c r="P32"/>
  <c r="J27"/>
  <c r="L27"/>
  <c r="P31"/>
  <c r="L35"/>
  <c r="L26"/>
  <c r="R19"/>
  <c r="X19"/>
  <c r="AB19"/>
  <c r="J19"/>
  <c r="N12"/>
  <c r="V12"/>
  <c r="L12"/>
  <c r="T12"/>
  <c r="AB12"/>
  <c r="J12"/>
  <c r="Z12"/>
  <c r="P12"/>
  <c r="X12"/>
  <c r="N23"/>
  <c r="X23"/>
  <c r="R23"/>
  <c r="J23"/>
  <c r="AB23"/>
  <c r="L23"/>
  <c r="X21"/>
  <c r="X16"/>
  <c r="P16"/>
  <c r="Z16"/>
  <c r="R16"/>
  <c r="J16"/>
  <c r="AB16"/>
  <c r="T16"/>
  <c r="L16"/>
  <c r="V16"/>
  <c r="N16"/>
  <c r="N14"/>
  <c r="Z14"/>
  <c r="L14"/>
  <c r="R20"/>
  <c r="Z20"/>
  <c r="AB15"/>
  <c r="J15"/>
  <c r="R15"/>
  <c r="X15"/>
  <c r="AB13"/>
  <c r="T13"/>
  <c r="R12"/>
  <c r="AG12"/>
  <c r="M72" i="3"/>
  <c r="K64" i="1"/>
  <c r="L70" i="3"/>
  <c r="L71"/>
  <c r="L69"/>
  <c r="O17" i="7"/>
  <c r="O16"/>
  <c r="O15"/>
  <c r="O14"/>
  <c r="O13" s="1"/>
  <c r="AH59" i="11" l="1"/>
  <c r="AH26"/>
  <c r="AH28" i="19"/>
  <c r="J21"/>
  <c r="R21" i="11"/>
  <c r="AH20" i="19"/>
  <c r="AH77"/>
  <c r="X70"/>
  <c r="J13"/>
  <c r="AH80"/>
  <c r="T23"/>
  <c r="P13"/>
  <c r="L13"/>
  <c r="Z64"/>
  <c r="P31"/>
  <c r="T16"/>
  <c r="AH16" s="1"/>
  <c r="P23"/>
  <c r="J23"/>
  <c r="AH65"/>
  <c r="N26"/>
  <c r="AH49"/>
  <c r="AH32"/>
  <c r="AH46"/>
  <c r="AH36"/>
  <c r="R13"/>
  <c r="R23"/>
  <c r="AH56" i="11"/>
  <c r="L27" i="19"/>
  <c r="N27"/>
  <c r="N35" i="11"/>
  <c r="AH35" s="1"/>
  <c r="N30"/>
  <c r="T14"/>
  <c r="R36"/>
  <c r="X22"/>
  <c r="J18"/>
  <c r="R21" i="19"/>
  <c r="AB21"/>
  <c r="V13"/>
  <c r="X23"/>
  <c r="AH69"/>
  <c r="J54"/>
  <c r="J57"/>
  <c r="L57"/>
  <c r="AH27" i="11"/>
  <c r="AH32"/>
  <c r="R22"/>
  <c r="AH22" s="1"/>
  <c r="R14"/>
  <c r="M84" i="19"/>
  <c r="AA84"/>
  <c r="AH8"/>
  <c r="AH19"/>
  <c r="AH12"/>
  <c r="AH22"/>
  <c r="AH35"/>
  <c r="AH18"/>
  <c r="AH70"/>
  <c r="AH37"/>
  <c r="AH30"/>
  <c r="AH76"/>
  <c r="AH31"/>
  <c r="AH14"/>
  <c r="AH71"/>
  <c r="AH34"/>
  <c r="AH23"/>
  <c r="K84"/>
  <c r="AH64"/>
  <c r="AH45"/>
  <c r="AH26"/>
  <c r="AH15"/>
  <c r="V14" i="11"/>
  <c r="J14"/>
  <c r="X14"/>
  <c r="P23"/>
  <c r="O83" s="1"/>
  <c r="L34"/>
  <c r="V45"/>
  <c r="AH45" s="1"/>
  <c r="X18"/>
  <c r="AB14"/>
  <c r="T23"/>
  <c r="Z23"/>
  <c r="AH23" s="1"/>
  <c r="AH37"/>
  <c r="AH13"/>
  <c r="AH75"/>
  <c r="AH20"/>
  <c r="AH31"/>
  <c r="N28"/>
  <c r="AH57"/>
  <c r="AH33"/>
  <c r="AH18"/>
  <c r="AH70"/>
  <c r="K83"/>
  <c r="N34"/>
  <c r="AH34" s="1"/>
  <c r="AH46"/>
  <c r="AH49"/>
  <c r="AH66"/>
  <c r="AB21"/>
  <c r="AH79"/>
  <c r="AH76"/>
  <c r="AH65"/>
  <c r="AH47"/>
  <c r="AH36"/>
  <c r="AH30"/>
  <c r="AH28"/>
  <c r="AH15"/>
  <c r="AH12"/>
  <c r="AH16"/>
  <c r="AH19"/>
  <c r="L73" i="3"/>
  <c r="F58" i="1" s="1"/>
  <c r="F58" i="19" s="1"/>
  <c r="G58" s="1"/>
  <c r="I84" l="1"/>
  <c r="O85" s="1"/>
  <c r="O84"/>
  <c r="AH21"/>
  <c r="AH14" i="11"/>
  <c r="Q83"/>
  <c r="AH21"/>
  <c r="AH13" i="19"/>
  <c r="AH27"/>
  <c r="AH54"/>
  <c r="Q84"/>
  <c r="AH57"/>
  <c r="X58"/>
  <c r="Z58"/>
  <c r="I83" i="11"/>
  <c r="M83"/>
  <c r="AA83"/>
  <c r="F58"/>
  <c r="G58" s="1"/>
  <c r="G58" i="1"/>
  <c r="L64"/>
  <c r="M73" i="3"/>
  <c r="O84" i="11" l="1"/>
  <c r="O85" s="1"/>
  <c r="O86" s="1"/>
  <c r="O88" s="1"/>
  <c r="AH58" i="19"/>
  <c r="O86"/>
  <c r="O87" s="1"/>
  <c r="X58" i="11"/>
  <c r="Z58"/>
  <c r="K22" i="1"/>
  <c r="L61"/>
  <c r="L60"/>
  <c r="K61"/>
  <c r="K60"/>
  <c r="L58"/>
  <c r="L57"/>
  <c r="K58"/>
  <c r="K57"/>
  <c r="G57"/>
  <c r="S68" i="2"/>
  <c r="R85"/>
  <c r="L53" i="1"/>
  <c r="O80" i="2"/>
  <c r="J41"/>
  <c r="J38"/>
  <c r="J37"/>
  <c r="J36"/>
  <c r="G27" i="1"/>
  <c r="I30" i="2"/>
  <c r="O89" i="19" l="1"/>
  <c r="AH58" i="11"/>
  <c r="M61" i="1"/>
  <c r="M57"/>
  <c r="M58"/>
  <c r="M60"/>
  <c r="G21"/>
  <c r="E19"/>
  <c r="E18"/>
  <c r="E17"/>
  <c r="G17" s="1"/>
  <c r="G15"/>
  <c r="G12"/>
  <c r="G13"/>
  <c r="G11"/>
  <c r="G12" i="2"/>
  <c r="G18" i="1"/>
  <c r="E19" i="2"/>
  <c r="E18"/>
  <c r="G80" i="1"/>
  <c r="G79"/>
  <c r="P80" s="1"/>
  <c r="Q80" s="1"/>
  <c r="B7" i="16" s="1"/>
  <c r="G18" i="2"/>
  <c r="G90"/>
  <c r="G89"/>
  <c r="E16"/>
  <c r="G16" s="1"/>
  <c r="G22" i="1"/>
  <c r="G82"/>
  <c r="G77"/>
  <c r="G76"/>
  <c r="G74"/>
  <c r="G73"/>
  <c r="G72"/>
  <c r="G71"/>
  <c r="G70"/>
  <c r="P77" s="1"/>
  <c r="Q77" s="1"/>
  <c r="B5" i="16" s="1"/>
  <c r="G69" i="1"/>
  <c r="G66"/>
  <c r="G65"/>
  <c r="G64"/>
  <c r="G56"/>
  <c r="G55"/>
  <c r="G54"/>
  <c r="G52"/>
  <c r="E51"/>
  <c r="G51" s="1"/>
  <c r="G50"/>
  <c r="G49"/>
  <c r="G47"/>
  <c r="G46"/>
  <c r="E45"/>
  <c r="G45" s="1"/>
  <c r="G37"/>
  <c r="G36"/>
  <c r="G35"/>
  <c r="E34"/>
  <c r="G34" s="1"/>
  <c r="E33"/>
  <c r="G33" s="1"/>
  <c r="G32"/>
  <c r="G31"/>
  <c r="G30"/>
  <c r="G29"/>
  <c r="G28"/>
  <c r="G26"/>
  <c r="G25"/>
  <c r="P37" s="1"/>
  <c r="Q37" s="1"/>
  <c r="B6" i="16" s="1"/>
  <c r="G23" i="1"/>
  <c r="G20"/>
  <c r="G19"/>
  <c r="G16"/>
  <c r="G10"/>
  <c r="G9"/>
  <c r="G8"/>
  <c r="F15" i="2"/>
  <c r="E15"/>
  <c r="E17"/>
  <c r="G17" s="1"/>
  <c r="I16"/>
  <c r="G87"/>
  <c r="I87"/>
  <c r="G88"/>
  <c r="L93"/>
  <c r="K93"/>
  <c r="G84"/>
  <c r="G60"/>
  <c r="G82"/>
  <c r="G91"/>
  <c r="I83"/>
  <c r="I81"/>
  <c r="K91"/>
  <c r="I21"/>
  <c r="G24"/>
  <c r="G19"/>
  <c r="E22"/>
  <c r="E53"/>
  <c r="G53" s="1"/>
  <c r="E39"/>
  <c r="E37"/>
  <c r="J35"/>
  <c r="J34"/>
  <c r="N91"/>
  <c r="G86"/>
  <c r="M91"/>
  <c r="L91"/>
  <c r="G85"/>
  <c r="G83"/>
  <c r="J42"/>
  <c r="K42" s="1"/>
  <c r="G81"/>
  <c r="P74"/>
  <c r="G21"/>
  <c r="G20"/>
  <c r="R64"/>
  <c r="F14"/>
  <c r="G14" s="1"/>
  <c r="F13"/>
  <c r="G13" s="1"/>
  <c r="G11"/>
  <c r="G9"/>
  <c r="F10"/>
  <c r="G10" s="1"/>
  <c r="O57"/>
  <c r="G58"/>
  <c r="E59"/>
  <c r="G59" s="1"/>
  <c r="N62"/>
  <c r="O62" s="1"/>
  <c r="G76"/>
  <c r="G75"/>
  <c r="G74"/>
  <c r="M99" i="3"/>
  <c r="L99"/>
  <c r="L98"/>
  <c r="L97"/>
  <c r="L90"/>
  <c r="L92"/>
  <c r="L91"/>
  <c r="L83"/>
  <c r="L9"/>
  <c r="L85"/>
  <c r="L84"/>
  <c r="L77"/>
  <c r="L79"/>
  <c r="L78"/>
  <c r="L78" i="2"/>
  <c r="G68"/>
  <c r="P75"/>
  <c r="G66"/>
  <c r="G65"/>
  <c r="Q67"/>
  <c r="P68"/>
  <c r="P67"/>
  <c r="O65"/>
  <c r="G67"/>
  <c r="L77"/>
  <c r="G57"/>
  <c r="P33" i="3"/>
  <c r="J53" i="2"/>
  <c r="P55"/>
  <c r="P54"/>
  <c r="P53"/>
  <c r="G47"/>
  <c r="L55" i="3"/>
  <c r="L56"/>
  <c r="L57"/>
  <c r="L54"/>
  <c r="G41" i="2"/>
  <c r="E52"/>
  <c r="E50"/>
  <c r="E49"/>
  <c r="E48"/>
  <c r="G56"/>
  <c r="L63" i="3"/>
  <c r="L64"/>
  <c r="L62"/>
  <c r="G55" i="2"/>
  <c r="L49" i="3"/>
  <c r="L48"/>
  <c r="L47"/>
  <c r="G54" i="2"/>
  <c r="L42" i="3"/>
  <c r="L41"/>
  <c r="L40"/>
  <c r="L39"/>
  <c r="L35"/>
  <c r="L34"/>
  <c r="J33"/>
  <c r="L33" s="1"/>
  <c r="L32"/>
  <c r="L28"/>
  <c r="L27"/>
  <c r="L26"/>
  <c r="L25"/>
  <c r="L18"/>
  <c r="L19"/>
  <c r="L20"/>
  <c r="L17"/>
  <c r="J10"/>
  <c r="L10" s="1"/>
  <c r="L11"/>
  <c r="L12"/>
  <c r="M62" i="1" l="1"/>
  <c r="L100" i="3"/>
  <c r="M100" s="1"/>
  <c r="G14" i="1"/>
  <c r="P23" s="1"/>
  <c r="Q23" s="1"/>
  <c r="B3" i="16" s="1"/>
  <c r="G95" i="2"/>
  <c r="G15"/>
  <c r="G26"/>
  <c r="O91"/>
  <c r="G22"/>
  <c r="M93"/>
  <c r="L80" i="3"/>
  <c r="L86"/>
  <c r="F61" i="1" s="1"/>
  <c r="F61" i="19" s="1"/>
  <c r="G61" s="1"/>
  <c r="L93" i="3"/>
  <c r="F62" i="1" s="1"/>
  <c r="F62" i="19" s="1"/>
  <c r="G62" s="1"/>
  <c r="Q71" i="2"/>
  <c r="P77"/>
  <c r="Q77" s="1"/>
  <c r="P71"/>
  <c r="L58" i="3"/>
  <c r="L50"/>
  <c r="M50" s="1"/>
  <c r="L65"/>
  <c r="L21"/>
  <c r="F41" i="1" s="1"/>
  <c r="F41" i="19" s="1"/>
  <c r="G41" s="1"/>
  <c r="L29" i="3"/>
  <c r="F42" i="1" s="1"/>
  <c r="F42" i="19" s="1"/>
  <c r="G42" s="1"/>
  <c r="L36" i="3"/>
  <c r="F43" i="1" s="1"/>
  <c r="F43" i="19" s="1"/>
  <c r="G43" s="1"/>
  <c r="L43" i="3"/>
  <c r="F44" i="1" s="1"/>
  <c r="F44" i="19" s="1"/>
  <c r="G44" s="1"/>
  <c r="L13" i="3"/>
  <c r="F40" i="1" s="1"/>
  <c r="F40" i="19" s="1"/>
  <c r="G40" s="1"/>
  <c r="K33" i="2"/>
  <c r="J33"/>
  <c r="G36"/>
  <c r="G42"/>
  <c r="T40" i="19" l="1"/>
  <c r="V40"/>
  <c r="T42"/>
  <c r="AH42" s="1"/>
  <c r="V42"/>
  <c r="X61"/>
  <c r="Z61"/>
  <c r="T43"/>
  <c r="V43"/>
  <c r="T41"/>
  <c r="V41"/>
  <c r="X62"/>
  <c r="Z62"/>
  <c r="T44"/>
  <c r="V44"/>
  <c r="F73" i="2"/>
  <c r="G73" s="1"/>
  <c r="G44" i="1"/>
  <c r="F44" i="11"/>
  <c r="G44" s="1"/>
  <c r="G61" i="1"/>
  <c r="F61" i="11"/>
  <c r="G61" s="1"/>
  <c r="G41" i="1"/>
  <c r="F41" i="11"/>
  <c r="G41" s="1"/>
  <c r="F63" i="1"/>
  <c r="F63" i="19" s="1"/>
  <c r="G63" s="1"/>
  <c r="G40" i="1"/>
  <c r="F40" i="11"/>
  <c r="G40" s="1"/>
  <c r="G42" i="1"/>
  <c r="F42" i="11"/>
  <c r="G42" s="1"/>
  <c r="G62" i="1"/>
  <c r="F62" i="11"/>
  <c r="G62" s="1"/>
  <c r="G43" i="1"/>
  <c r="F43" i="11"/>
  <c r="G43" s="1"/>
  <c r="M65" i="3"/>
  <c r="F48" i="1"/>
  <c r="F48" i="19" s="1"/>
  <c r="G48" s="1"/>
  <c r="V48" s="1"/>
  <c r="AH48" s="1"/>
  <c r="F70" i="2"/>
  <c r="G70" s="1"/>
  <c r="F60" i="1"/>
  <c r="F60" i="19" s="1"/>
  <c r="G60" s="1"/>
  <c r="F71" i="2"/>
  <c r="G71" s="1"/>
  <c r="M86" i="3"/>
  <c r="F39" i="1"/>
  <c r="F39" i="19" s="1"/>
  <c r="G39" s="1"/>
  <c r="M80" i="3"/>
  <c r="M93"/>
  <c r="F72" i="2"/>
  <c r="G72" s="1"/>
  <c r="L33"/>
  <c r="M29" i="3"/>
  <c r="F50" i="2"/>
  <c r="G50" s="1"/>
  <c r="M21" i="3"/>
  <c r="F49" i="2"/>
  <c r="G49" s="1"/>
  <c r="M43" i="3"/>
  <c r="F52" i="2"/>
  <c r="G52" s="1"/>
  <c r="M36" i="3"/>
  <c r="F51" i="2"/>
  <c r="G51" s="1"/>
  <c r="M13" i="3"/>
  <c r="F48" i="2"/>
  <c r="G48" s="1"/>
  <c r="E38"/>
  <c r="G38" s="1"/>
  <c r="G35"/>
  <c r="G34"/>
  <c r="G33"/>
  <c r="E40"/>
  <c r="G40" s="1"/>
  <c r="G39"/>
  <c r="G37"/>
  <c r="G32"/>
  <c r="G30"/>
  <c r="J31"/>
  <c r="AH40" i="19" l="1"/>
  <c r="S84"/>
  <c r="AH44"/>
  <c r="AH41"/>
  <c r="AH61"/>
  <c r="Z63"/>
  <c r="X63"/>
  <c r="V39"/>
  <c r="G83"/>
  <c r="G85" s="1"/>
  <c r="G87" s="1"/>
  <c r="J88" s="1"/>
  <c r="J89" s="1"/>
  <c r="Z60"/>
  <c r="Y84" s="1"/>
  <c r="AE85" s="1"/>
  <c r="AE86" s="1"/>
  <c r="AE87" s="1"/>
  <c r="X60"/>
  <c r="AH62"/>
  <c r="AH43"/>
  <c r="G48" i="1"/>
  <c r="F48" i="11"/>
  <c r="G48" s="1"/>
  <c r="V48" s="1"/>
  <c r="AH48" s="1"/>
  <c r="X62"/>
  <c r="Z62"/>
  <c r="V40"/>
  <c r="T40"/>
  <c r="G39" i="1"/>
  <c r="F39" i="11"/>
  <c r="G39" s="1"/>
  <c r="T41"/>
  <c r="V41"/>
  <c r="V44"/>
  <c r="T44"/>
  <c r="G60" i="1"/>
  <c r="F60" i="11"/>
  <c r="G60" s="1"/>
  <c r="V43"/>
  <c r="T43"/>
  <c r="V42"/>
  <c r="T42"/>
  <c r="G63" i="1"/>
  <c r="F63" i="11"/>
  <c r="G63" s="1"/>
  <c r="Z61"/>
  <c r="X61"/>
  <c r="G78" i="2"/>
  <c r="G62"/>
  <c r="P66" i="1" l="1"/>
  <c r="Q66" s="1"/>
  <c r="B2" i="16" s="1"/>
  <c r="AE89" i="19"/>
  <c r="Z88"/>
  <c r="AH60"/>
  <c r="W84"/>
  <c r="AH63"/>
  <c r="AH39"/>
  <c r="AH84" s="1"/>
  <c r="AH85" s="1"/>
  <c r="AH86" s="1"/>
  <c r="U84"/>
  <c r="D2" i="16"/>
  <c r="P52" i="1"/>
  <c r="Q52" s="1"/>
  <c r="B4" i="16" s="1"/>
  <c r="AH62" i="11"/>
  <c r="G83" i="1"/>
  <c r="G85" s="1"/>
  <c r="G87" s="1"/>
  <c r="AH61" i="11"/>
  <c r="AH42"/>
  <c r="AH41"/>
  <c r="X60"/>
  <c r="Z60"/>
  <c r="AH40"/>
  <c r="S83"/>
  <c r="Z63"/>
  <c r="X63"/>
  <c r="V39"/>
  <c r="G82"/>
  <c r="G84" s="1"/>
  <c r="G86" s="1"/>
  <c r="J87" s="1"/>
  <c r="J88" s="1"/>
  <c r="AH43"/>
  <c r="AH44"/>
  <c r="G31" i="2"/>
  <c r="W85" i="19" l="1"/>
  <c r="W86" s="1"/>
  <c r="W87" s="1"/>
  <c r="W89" s="1"/>
  <c r="AH87" s="1"/>
  <c r="C2" i="16"/>
  <c r="C3" s="1"/>
  <c r="C4" s="1"/>
  <c r="C5" s="1"/>
  <c r="C6" s="1"/>
  <c r="C7" s="1"/>
  <c r="C8" s="1"/>
  <c r="D3"/>
  <c r="J3"/>
  <c r="D4" s="1"/>
  <c r="J4"/>
  <c r="Y83" i="11"/>
  <c r="AE84" s="1"/>
  <c r="AE85" s="1"/>
  <c r="AE86" s="1"/>
  <c r="AE88" s="1"/>
  <c r="AH60"/>
  <c r="W83"/>
  <c r="AH39"/>
  <c r="U83"/>
  <c r="AH63"/>
  <c r="G44" i="2"/>
  <c r="R88" i="19" l="1"/>
  <c r="R89" s="1"/>
  <c r="Z89" s="1"/>
  <c r="D6" i="16"/>
  <c r="D7"/>
  <c r="D5"/>
  <c r="K4" s="1"/>
  <c r="D8"/>
  <c r="K2"/>
  <c r="L2" s="1"/>
  <c r="AH83" i="11"/>
  <c r="AH84" s="1"/>
  <c r="AH85" s="1"/>
  <c r="W84"/>
  <c r="W85" s="1"/>
  <c r="W86" s="1"/>
  <c r="R87" s="1"/>
  <c r="R88" s="1"/>
  <c r="Z87"/>
  <c r="I86" i="2"/>
  <c r="I99"/>
  <c r="I100" s="1"/>
  <c r="K3" i="16" l="1"/>
  <c r="L3" s="1"/>
  <c r="L4" s="1"/>
  <c r="W88" i="11"/>
  <c r="AH86" s="1"/>
  <c r="Z88"/>
</calcChain>
</file>

<file path=xl/sharedStrings.xml><?xml version="1.0" encoding="utf-8"?>
<sst xmlns="http://schemas.openxmlformats.org/spreadsheetml/2006/main" count="2212" uniqueCount="632">
  <si>
    <t>ÓRGÃO:</t>
  </si>
  <si>
    <t>TRIBUNAL REGIONAL ELEITORAL DO DISTRITO FEDERAL</t>
  </si>
  <si>
    <t>SERVIÇO:</t>
  </si>
  <si>
    <t>LOCAL:</t>
  </si>
  <si>
    <t>LOTE "I" / QI 13 /LAGO SUL - DISTRITO FEDERAL</t>
  </si>
  <si>
    <t>ANEXO 1</t>
  </si>
  <si>
    <t xml:space="preserve">PLANILHA ORÇAMENTÁRIA </t>
  </si>
  <si>
    <t>Item</t>
  </si>
  <si>
    <t>Referência de Custo</t>
  </si>
  <si>
    <t>DESCRIÇÃO DOS SERVIÇOS TÉCNICOS PROFISSIONAIS</t>
  </si>
  <si>
    <t>UNID.</t>
  </si>
  <si>
    <t>QUANT.</t>
  </si>
  <si>
    <t>CUSTO UNIT</t>
  </si>
  <si>
    <t>CUSTO TOTAL</t>
  </si>
  <si>
    <t>SERVIÇOS PREPARATÓRIOS, REGULARIZAÇÃO E PROJETOS</t>
  </si>
  <si>
    <t>1.1</t>
  </si>
  <si>
    <t>1.1.1</t>
  </si>
  <si>
    <t>1.1.7</t>
  </si>
  <si>
    <t>1.2</t>
  </si>
  <si>
    <t>mês</t>
  </si>
  <si>
    <t>h</t>
  </si>
  <si>
    <t>1.3</t>
  </si>
  <si>
    <t>m³</t>
  </si>
  <si>
    <t>2.1</t>
  </si>
  <si>
    <t>2.2</t>
  </si>
  <si>
    <t>m²</t>
  </si>
  <si>
    <t>m</t>
  </si>
  <si>
    <t>3.1</t>
  </si>
  <si>
    <t>3.2</t>
  </si>
  <si>
    <t>3.6</t>
  </si>
  <si>
    <t>3.7</t>
  </si>
  <si>
    <t>SERVIÇOS COMPLEMENTARES</t>
  </si>
  <si>
    <t>7.1</t>
  </si>
  <si>
    <t>PAISAGISMO</t>
  </si>
  <si>
    <t>LIMPEZA</t>
  </si>
  <si>
    <t>LIMPEZA FINAL (Considerado a  limpeza da área externa pavimentada e 50% da área verde que passará por intervenções ou será ocupada pelo canteiro de obras)</t>
  </si>
  <si>
    <t>CUSTO DIRETO TOTAL</t>
  </si>
  <si>
    <t>BDI - BONIFICAÇÕES E DESPESAS INDIRETAS</t>
  </si>
  <si>
    <t>PREÇO TOTAL ESTIMADO</t>
  </si>
  <si>
    <t/>
  </si>
  <si>
    <t>CREA-DF</t>
  </si>
  <si>
    <t>1.1.6</t>
  </si>
  <si>
    <t>74209/001</t>
  </si>
  <si>
    <r>
      <t xml:space="preserve">ALUGUEL CONTAINER PARA ESCRITÓRIO/ALMOXARIFADO: INCL INST ELET LARG=2,20 COMP=6,20M ALT=2,50M CHAPA ACO C/NERV TRAPEZ FORRO C/ISOL TERMO/ACUSTICOCHASSIS REFORC PISO COMPENS NAVAL </t>
    </r>
    <r>
      <rPr>
        <u/>
        <sz val="9"/>
        <rFont val="Times New Roman"/>
        <family val="1"/>
      </rPr>
      <t>INCLUINDO</t>
    </r>
    <r>
      <rPr>
        <sz val="9"/>
        <rFont val="Times New Roman"/>
        <family val="1"/>
      </rPr>
      <t xml:space="preserve"> TRANSP/CARGA/DESCARGA</t>
    </r>
  </si>
  <si>
    <r>
      <t xml:space="preserve">ALUGUEL CONTAINER PARA REFEITÓRIO: INCL INST ELET LARG=2,20 COMP=6,20M ALT=2,50M CHAPA ACO C/NERV TRAPEZ FORRO C/ISOL TERMO/ACUSTICOCHASSIS REFORC PISO COMPENS NAVAL </t>
    </r>
    <r>
      <rPr>
        <u/>
        <sz val="9"/>
        <rFont val="Times New Roman"/>
        <family val="1"/>
      </rPr>
      <t>INCLUINDO</t>
    </r>
    <r>
      <rPr>
        <sz val="9"/>
        <rFont val="Times New Roman"/>
        <family val="1"/>
      </rPr>
      <t xml:space="preserve"> TRANSP/CARGA/DESCARGA</t>
    </r>
  </si>
  <si>
    <t>74220/001</t>
  </si>
  <si>
    <t xml:space="preserve">ENCARREGADO GERAL COM ENCARGOS COMPLEMENTARES COM ENCARGOS COMPLEMENTARES. (Considerado prazo de execução de 12 semanas: 8h dirárias x15 dias úteis/semana x 12 semanas = </t>
  </si>
  <si>
    <t>73948/016</t>
  </si>
  <si>
    <t>DRE-CAN-030</t>
  </si>
  <si>
    <t>3.3</t>
  </si>
  <si>
    <t>3.4</t>
  </si>
  <si>
    <t>3.5</t>
  </si>
  <si>
    <t>4.1</t>
  </si>
  <si>
    <t>4.2</t>
  </si>
  <si>
    <t>6.1</t>
  </si>
  <si>
    <t>74236/001</t>
  </si>
  <si>
    <t>FUNDAÇÕES</t>
  </si>
  <si>
    <t>ESCAVAÇÃO MANUAL PARA BLOCO DE COROAMENTO OU SAPATA, COM PREVISÃO DE FÔRMA. AF_06/2017</t>
  </si>
  <si>
    <t>DEMOLIÇÃO DE CONCRETO SIMPLES</t>
  </si>
  <si>
    <t>Data dez/2018</t>
  </si>
  <si>
    <t>LOCACAO DA OBRA, COM USO DE EQUIPAMENTOS TOPOGRAFICOS, INCLUSIVE NIVELADOR</t>
  </si>
  <si>
    <t>ESTACA ESCAVADA MECANICAMENTE, SEM FLUIDO ESTABILIZANTE, COM 40 CM DE DIÂMETRO, ATÉ 9 M DE COMPRIMENTO, CONCRETO LANÇADO POR CAMINHÃO BETONEIRA (EXCLUSIVE MOBILIZAÇÃO E DESMOBILIZAÇÃO). AF_02/2015</t>
  </si>
  <si>
    <t>CONCRETAGEM DE BLOCOS DE COROAMENTO E VIGAS BALDRAME, FCK 30 MPA, COM USO DE JERICA LANÇAMENTO, ADENSAMENTO E ACABAMENTO. AF_06/2017</t>
  </si>
  <si>
    <t>kg</t>
  </si>
  <si>
    <t>96544-Adaptada</t>
  </si>
  <si>
    <t>ARMAÇÃO DE BLOCO E ESTACAS UTILIZANDO AÇO CA-50 DE 10 MM - MONTAGEM. AF_06/2017</t>
  </si>
  <si>
    <t>ARMAÇÃO DE BLOCO E  ESTACAS UTILIZANDO AÇO CA-50 DE 6,3 KG AS 9,42 MM - MONTAGEM. AF_06/2017</t>
  </si>
  <si>
    <t>FABRICAÇÃO, MONTAGEM E DESMONTAGEM DE FÔRMA PARA BLOCO DE COROAMENTO, EM CHAPA DE MADEIRA COMPENSADA RESINADA, E=17 MM, 2 UTILIZAÇÕES. AF_06</t>
  </si>
  <si>
    <t>M2</t>
  </si>
  <si>
    <t>IMPERMEABILIZACAO DE ESTRUTURAS ENTERRADAS, COM TINTA ASFALTICA, DUAS DEMAOS.</t>
  </si>
  <si>
    <t>74106/001</t>
  </si>
  <si>
    <t>PEDRA BRITADA N. 2 (19 A 38 MM) PARA LASTRO</t>
  </si>
  <si>
    <t>APARELHO PARA CORTE E SOLDA OXI-ACETILENO SOBRE RODAS, INCLUSIVE CILINDROS E MAÇARICOS - CHP DIURNO. AF_12/2015</t>
  </si>
  <si>
    <t>PARA LASTRO -CONCRETO FCK = 15MPA, TRAÇO 1:3,4:3,5 (CIMENTO/ AREIA MÉDIA/ BRITA 1) M3 - PREPARO MECÂNICO COM BETONEIRA 600 L. AF_07/2016</t>
  </si>
  <si>
    <t>KG</t>
  </si>
  <si>
    <t>INSUMO</t>
  </si>
  <si>
    <t>COMPOSICAO</t>
  </si>
  <si>
    <t>H</t>
  </si>
  <si>
    <t>88316</t>
  </si>
  <si>
    <t>SERVENTE COM ENCARGOS COMPLEMENTARES</t>
  </si>
  <si>
    <t>COBE</t>
  </si>
  <si>
    <t>73970/1</t>
  </si>
  <si>
    <t>ESTRUTURA METALICA EM ACO ESTRUTURAL PERFIL I 12 X 5 1/4</t>
  </si>
  <si>
    <t>4774</t>
  </si>
  <si>
    <t>PERFIL "I" DE ACO LAMINADO, "W" 410 X 67</t>
  </si>
  <si>
    <t>6391</t>
  </si>
  <si>
    <t>SOLDA TOPO DESCENDENTE CHANFRADA ESPESSURA=1/4" CHAPA/PERFIL/TUBO ACO COM CONVERSOR DIESEL.</t>
  </si>
  <si>
    <t>M</t>
  </si>
  <si>
    <t>88315</t>
  </si>
  <si>
    <t>SERRALHEIRO COM ENCARGOS COMPLEMENTARES</t>
  </si>
  <si>
    <t>73970/2</t>
  </si>
  <si>
    <t>ESTRUTURA METALICA EM ACO ESTRUTURAL PERFIL I 6 X 3 3/8</t>
  </si>
  <si>
    <t>4766</t>
  </si>
  <si>
    <t>PERFIL "I" DE ACO LAMINADO, "I" 152 X 22</t>
  </si>
  <si>
    <t>Cotação Mercado</t>
  </si>
  <si>
    <t>UNID</t>
  </si>
  <si>
    <t xml:space="preserve">PERFIL C </t>
  </si>
  <si>
    <t>ITEM</t>
  </si>
  <si>
    <t>FONTE</t>
  </si>
  <si>
    <t>CÓDIGO</t>
  </si>
  <si>
    <t>DESCRIÇÃO</t>
  </si>
  <si>
    <t>UNI.</t>
  </si>
  <si>
    <t>COEF.</t>
  </si>
  <si>
    <t>PREÇO UNITÁRIO</t>
  </si>
  <si>
    <t>CUSTO UNITÁRIO</t>
  </si>
  <si>
    <t>TOTAL</t>
  </si>
  <si>
    <t>COMP.001</t>
  </si>
  <si>
    <t>Dobrar o peso</t>
  </si>
  <si>
    <t>6391 adaptada</t>
  </si>
  <si>
    <t>Acrescentar 20cm</t>
  </si>
  <si>
    <t>CHAPA DE ACO GROSSA, ASTM A36, E = 1/2 " (12,70 MM) 99,59 KG/M2</t>
  </si>
  <si>
    <t>ESTRURA</t>
  </si>
  <si>
    <t>COMP. 001</t>
  </si>
  <si>
    <t>COMP.002</t>
  </si>
  <si>
    <t>CHI</t>
  </si>
  <si>
    <t>92716</t>
  </si>
  <si>
    <t>0,0330000</t>
  </si>
  <si>
    <t>CHAPA BASE 400X400 #5/8"</t>
  </si>
  <si>
    <t>CHAPA DE LIGAÇÃO 400X200#1/2</t>
  </si>
  <si>
    <t>CHAPA DE ACO GROSSA, ASTM A36, E = 5/8 " (15,88 MM) 124,49 KG/M2</t>
  </si>
  <si>
    <t>PERFIL DE CHAPA DOBRADA AÇO ASTM 1010 CAIXA U ENRIJECIDO 2X(100X50X17 #3mm)</t>
  </si>
  <si>
    <t>CHAPA DE APOIO 150X150#1/2"</t>
  </si>
  <si>
    <t>ESTRUTURA DE ESCORAMENTO-PERFIL DE CHAPA DOBRADA AÇO ASTM 1010 CAIXA U ENRIJECIDO 2X(100X50X17 #3mm)</t>
  </si>
  <si>
    <t>CHAPA DE APOIO</t>
  </si>
  <si>
    <t>COMP.003</t>
  </si>
  <si>
    <t>COMP. 004</t>
  </si>
  <si>
    <t>COMP.005</t>
  </si>
  <si>
    <t>PARAFUSO DE ACO TIPO CHUMBADOR PARABOLT, DIAMETRO 1/2", COMPRIMENTO 75 MM</t>
  </si>
  <si>
    <t>unid.</t>
  </si>
  <si>
    <t>ESTRUTURA DE REFORÇO- PILARES E ESCORAS DE AÇO DA ESTRUTURA DAS MARQUISES.</t>
  </si>
  <si>
    <t>ADESIVO ESTRUTURAL A BASE DE RESINA EPOXI, BICOMPONENTE, FLUIDO</t>
  </si>
  <si>
    <t>3,2000000</t>
  </si>
  <si>
    <t>AJUDANTE ESPECIALIZADO COM ENCARGOS COMPLEMENTARES</t>
  </si>
  <si>
    <t>1,0000000</t>
  </si>
  <si>
    <t>IMPERMEABILIZADOR COM ENCARGOS COMPLEMENTARES</t>
  </si>
  <si>
    <t>COMP.006</t>
  </si>
  <si>
    <t>REPARO/COLAGEM DE ESTRUTURAS DE CONCRETO COM ADESIVO ESTRUTURAL A BASE DE EPOXI, E=2 MM
REPARO/COLAGEM DE ESTRUTURAS DE CONCRETO COM ADESIVO ESTRUTURAL A BASE DE EPOXI, E=2 MM.</t>
  </si>
  <si>
    <t>COLAGEM PARA FIXAÇÃO DE PARABOLT.</t>
  </si>
  <si>
    <t>M²</t>
  </si>
  <si>
    <t>REPARO/COLAGEM DE ESTRUTURAS DE CONCRETO COM ADESIVO ESTRUTURAL A BASE DE EPOXI, E=2 MM- SIKADUR 32 OU EQUIVALENTE.</t>
  </si>
  <si>
    <t>GRAUTE</t>
  </si>
  <si>
    <t>GRAUTE CIMENTICIO PARA USO GERAL</t>
  </si>
  <si>
    <t>88309</t>
  </si>
  <si>
    <t>PEDREIRO COM ENCARGOS COMPLEMENTARES</t>
  </si>
  <si>
    <t>0,3000000</t>
  </si>
  <si>
    <t>0,2000000</t>
  </si>
  <si>
    <t xml:space="preserve">GRAUTEAMENTO DA CHAPA DE LIGAÇÃO </t>
  </si>
  <si>
    <t>1,4640000</t>
  </si>
  <si>
    <t>ESTRUTURA DAS MARQUISES</t>
  </si>
  <si>
    <t>PCI.818.01 - COMPOSIÇÕES ATIVAS ANALÍTICAS COM CUSTO</t>
  </si>
  <si>
    <t>ESTRUTURA METALICA EM ACO PILARES-PERFIL DE CHAPA DOBRADA CAIXA U ENRIJECIDO AÇO USI SAC 300, 2X(200X100X17) #3/16"</t>
  </si>
  <si>
    <t>Total</t>
  </si>
  <si>
    <t>CUSTO TOTAL SEM BDI.</t>
  </si>
  <si>
    <t>ARGAMASSA TRACO 1:3 (CIMENTO E AREIA), PREPARO MANUAL, INCLUSO ADITIVO IMPERMEABILIZANTE- PARA NIVELAMENTO DAS CABEÇAS DOS BLOCOS</t>
  </si>
  <si>
    <t>PARA ESTACAS- CONCRETO USINADO BOMBEAVEL, CLASSE DE RESISTENCIA C25, COM BRITA 0 E 1, SLUMP =100 +/- 20 MM, INCLUI SERVICO DE BOMBEAMENTO (NBR 8953)</t>
  </si>
  <si>
    <t>88253</t>
  </si>
  <si>
    <t>AUXILIAR DE TOPÓGRAFO COM ENCARGOS COMPLEMENTARES</t>
  </si>
  <si>
    <t>88288</t>
  </si>
  <si>
    <t>NIVELADOR COM ENCARGOS COMPLEMENTARES</t>
  </si>
  <si>
    <t>LOCACAO DE TEODOLITO ELETRONICO, PRECISAO ANGULAR DE 5 A 7 SEGUNDOS, INCLUINDO TRIPE</t>
  </si>
  <si>
    <t>LOCACAO DE NIVEL OPTICO, COM PRECISAO DE 0,7 MM, AUMENTO DE 32X</t>
  </si>
  <si>
    <t>TOPOGRAFO COM ENCARGOS COMPLEMENTARES</t>
  </si>
  <si>
    <t>7247</t>
  </si>
  <si>
    <t>7252</t>
  </si>
  <si>
    <t>344</t>
  </si>
  <si>
    <t>4433</t>
  </si>
  <si>
    <t>5074</t>
  </si>
  <si>
    <t>6189</t>
  </si>
  <si>
    <t>88262</t>
  </si>
  <si>
    <t>73992/1</t>
  </si>
  <si>
    <t>TABUA MADEIRA 2A QUALIDADE 2,5 X 30,0CM (1 X 12") NAO APARELHADA</t>
  </si>
  <si>
    <t>CARPINTEIRO DE FORMAS COM ENCARGOS COMPLEMENTARES</t>
  </si>
  <si>
    <t>ARAME GALVANIZADO 16 BWG, 1,65MM (0,0166 KG/M)</t>
  </si>
  <si>
    <t>PECA DE MADEIRA NAO APARELHADA *7,5 X 7,5* CM (3 X 3 ") MACARANDUBA, ANGELIM OU EQUIVALENTE DA REGIAO</t>
  </si>
  <si>
    <t>PREGO DE ACO POLIDO COM CABECA 15 X 18 (1 1/2 X 13)</t>
  </si>
  <si>
    <t>0,0200000</t>
  </si>
  <si>
    <t>0,0400000</t>
  </si>
  <si>
    <t>0,0120000</t>
  </si>
  <si>
    <t>0,2853000</t>
  </si>
  <si>
    <t>0,1000000</t>
  </si>
  <si>
    <t>0,6000000</t>
  </si>
  <si>
    <t>0,1300000</t>
  </si>
  <si>
    <t>Locação de obra com Topografo</t>
  </si>
  <si>
    <t>TOPOGRAFO PARA NIVELAMENTO</t>
  </si>
  <si>
    <t>SERVIÇO TOPOGRAFICO PARA VERIFICAÇÃO DO NIVELAMENTO DA MARQUISE.</t>
  </si>
  <si>
    <t>COMP.007</t>
  </si>
  <si>
    <t>SOLDA TOPO DESCENDENTE CHANFRADA ESPESSURA=1/4" CHAPA/PERFIL/TUBO ACO</t>
  </si>
  <si>
    <t>ESTRUTURA DAS MARQUISE</t>
  </si>
  <si>
    <t>PERFIL DE CHAPA DOBRADA CAIXA U ENRIJECIDO AÇO USI SAC 300, 2(X200X100X17) #3/16" 0,47MM</t>
  </si>
  <si>
    <t>Gravia</t>
  </si>
  <si>
    <t>SUBSTITUIÇÃO DE TELHAS ONDULADAS DE FIBROCIMENTO (30 TELHAS) IGUAIS ÀS EXISTENTES (ETHERMAX 6mm ).</t>
  </si>
  <si>
    <t>REMOÇÃO DE TELHAS, DE FIBROCIMENTO, METÁLICA E CERÂMICA, DE FORMA MANUAL, SEM REAPROVEITAMENTO. AF_12/2017</t>
  </si>
  <si>
    <t>2,44x1,1</t>
  </si>
  <si>
    <t>DEMOLIÇÃODA PLATIBANDA EXISTENTE (DEMOLIÇÃO DE ALVENARIA PARA QUALQUER TIPO DE BLOCO, DE FORMA MECANIZADA, SEM REAPROVEITAMENTO. AF_12/2017)</t>
  </si>
  <si>
    <t>FACHADA MENOR</t>
  </si>
  <si>
    <t>FACHADA MAIOR</t>
  </si>
  <si>
    <t>ESPESSURA</t>
  </si>
  <si>
    <t>Ver Renato</t>
  </si>
  <si>
    <t>A1</t>
  </si>
  <si>
    <t>A2</t>
  </si>
  <si>
    <t>L1</t>
  </si>
  <si>
    <t>L2</t>
  </si>
  <si>
    <t>PERFIL CHAPA DOBRADA"U" SIMPLES AÇO USI SAC 300, 100X50#2,65MM</t>
  </si>
  <si>
    <t>ESTRUTURA DA PLACA CIMENTÍCIA</t>
  </si>
  <si>
    <t>PERFIL CHAPA DOBRADA"U" 100X50 #2,65</t>
  </si>
  <si>
    <t>PERFIL CHAPA DOBRADA"U" SIMPLES AÇO USI SAC 300, 93X40#2,65MM</t>
  </si>
  <si>
    <t>ESTRUTURA METALICA EM ACO PILARES-PERFIL DE CHAPA DOBRADA CAIXA U ENRIJECIDO AÇO USI SAC 300, 2X200X100X17 #3/16"-0,476 CM</t>
  </si>
  <si>
    <t>COMP. 008</t>
  </si>
  <si>
    <t>COMP. 009</t>
  </si>
  <si>
    <t>COMP.008</t>
  </si>
  <si>
    <t>Cotação de Mercado</t>
  </si>
  <si>
    <t>Fabricar na GRAVIA</t>
  </si>
  <si>
    <t>PERFIL CHAPA DOBRADA"U" SIMPLES AÇO USI SAC 300, 93x40 #2,65MM</t>
  </si>
  <si>
    <t>COMP.009</t>
  </si>
  <si>
    <t>PERFILL DE CHAPA DOBRADA CANTONEIRA AÇO USI SAC 300, 40X40 #2,65MM</t>
  </si>
  <si>
    <t>Cotação GERDAU</t>
  </si>
  <si>
    <t>PERFIL CHAPA DOBRADA CANTONEIRA  40X40#2,65</t>
  </si>
  <si>
    <t>PERFIL CHAPA DOBRADA"U" 93X40 #2,65</t>
  </si>
  <si>
    <t>COTAÇÃO GERDAU</t>
  </si>
  <si>
    <t>COTAÇÃO  GERDAU</t>
  </si>
  <si>
    <t>COMP. 010</t>
  </si>
  <si>
    <t>COMP.010</t>
  </si>
  <si>
    <t>CHAPA DE ACO FINA A QUENTE BITOLA MSG 3/16 ", E = 4,75 MM (38,00 KG/M2)</t>
  </si>
  <si>
    <t>COMP. 011</t>
  </si>
  <si>
    <t>COMP.011</t>
  </si>
  <si>
    <t>CHAPA #3/16" PARA APOIO DAS PLACAS CIMENTÍCIAS</t>
  </si>
  <si>
    <t>PARAFUSO DE ACO TIPO CHUMBADOR PARABOLT, DIAMETRO 3/8"", COMPRIMENTO 75 MM</t>
  </si>
  <si>
    <t>Consumo: Adesivo Epóxi (A+B) : 2,0 kg/m² por mm de espessura</t>
  </si>
  <si>
    <t>Sikadur® Epóxi</t>
  </si>
  <si>
    <t>PARAFUSO AUTO ATARRACHATE D=8MM INOX</t>
  </si>
  <si>
    <t>cento</t>
  </si>
  <si>
    <t>40839-Adaptada</t>
  </si>
  <si>
    <t>PRANCHA DE MADEIRA 2A QUALIDADE SERRADA NAO APARELHADA</t>
  </si>
  <si>
    <t>=</t>
  </si>
  <si>
    <t>CHUMBADORES BARRA ROSCADA D= 1"- 200mm</t>
  </si>
  <si>
    <t xml:space="preserve">Cotação </t>
  </si>
  <si>
    <t>Vulção da borracha</t>
  </si>
  <si>
    <t>3351-3322</t>
  </si>
  <si>
    <t>PORCA ZINCADA, SEXTAVADA, DIAMETRO 1"</t>
  </si>
  <si>
    <t>52,00 R$/m</t>
  </si>
  <si>
    <t>ELABORAÇÃO DE PROJETOS AS-BUILT: ARQUITETURA, FUNDAÇÕES e DRENAGEM PLUVIAL .</t>
  </si>
  <si>
    <t>REL-TEC-150/SETOP-MG</t>
  </si>
  <si>
    <t>EMISSÃO DE ANOTAÇÃO DE RESPONSABILIDADE TÉCNICA - ART: EXECUÇÃO DA OBRA E ELABORAÇÃO DE PROJETOS AS-BUILT DE ARQUITETURA, FUNDAÇÕES E DRENAGEM PLUVIAL.</t>
  </si>
  <si>
    <t>SERVIÇOS PREELIMINARES E PROJETOS</t>
  </si>
  <si>
    <t>1.1.2</t>
  </si>
  <si>
    <t>1.1.3</t>
  </si>
  <si>
    <t>73847/001+FRETE</t>
  </si>
  <si>
    <t>FORNECIMENTO E INSTALAÇÃO DE ISOLAMENTO DE OBRA COM TELA PLASTICA COM MALHA DE 5MM E ESTRUTURA DE MADEIRA PONTALETEADA, PARA PROTEÇÃO: DEMARCAÇÃO DO PERÍMETRO DE SEGURANÇA DA ÁREA DE EXECUÇÃO DOS SERVIÇOS DE REFORÇO ESTRUTRUAL E DELIMITAÇÃO DE CANTEIRO DE OBRAS.</t>
  </si>
  <si>
    <t>FORNECIMENTO E INSTALAÇÃO DE LONAS PLÁSTICAS PARA A PROTEÇÃO DA COBERTURA DURANTE A EXECUÇÃO DA NOVA PLATIBANDA.</t>
  </si>
  <si>
    <t>Volume das platibandas</t>
  </si>
  <si>
    <t xml:space="preserve">TRANSPORTE / CARGA MANUAL DE ENTULHOS </t>
  </si>
  <si>
    <t>Telhas m²</t>
  </si>
  <si>
    <t>RECOMPOSIÇÃO DE PISO EXISTENTE EM CONCRETO.</t>
  </si>
  <si>
    <t>RECOMPOSIÇÃO DE CANALETA DE DRENAGEM CONFORME A EXISTENTE.</t>
  </si>
  <si>
    <t>RECOMPOSIÇÃO DE MEIO FIO</t>
  </si>
  <si>
    <t>MONTAGEM E DESMONTAGEM DE ANDAIME TUBULAR TIPO TORRE (EXCLUSIVE ANDAIME E LIMPEZA). AF_11/2017</t>
  </si>
  <si>
    <t xml:space="preserve">FORNECIMENTO E INSTALAÇÃO DE TAPUMES : PROTEÇAO DE PESSOAS E MATERIAIS E ISOLAMENTO DE ÁREAS DE TRABALHO. </t>
  </si>
  <si>
    <t>PINTURA ACRILICA EM PISO CIMENTADO, TRES DEMAOS</t>
  </si>
  <si>
    <t xml:space="preserve">79500/002 </t>
  </si>
  <si>
    <t>73922/001</t>
  </si>
  <si>
    <t>74145/001</t>
  </si>
  <si>
    <t>PINTURA DOS PILARES e CHAPAS METALICAS-PINTURA ESMALTE FOSCO, DUAS DEMAOS, SOBRE SUPERFICIE METALICA, INCLUSO UMA DEMAO DE FUNDO ANTICORROSIVO. UTILIZACAO DE REVOLVER ( AR-COMPRIM
IDO).</t>
  </si>
  <si>
    <t>p</t>
  </si>
  <si>
    <t>chapa</t>
  </si>
  <si>
    <t>Área de Pintura metálica</t>
  </si>
  <si>
    <t>total</t>
  </si>
  <si>
    <t>PINHEIRO SAI- R$ 99,53- 1,2x2,40</t>
  </si>
  <si>
    <t>sinapi-1,2x3,0</t>
  </si>
  <si>
    <t>demolição de concret=1,74 m³; escavação de fundação=6,8m³;  Escavação manual dos blocos=7,06m³; demolição da platibanda=48,6m³ considerando empolamento de 30%.</t>
  </si>
  <si>
    <t>C</t>
  </si>
  <si>
    <t>PLATIBANDAS EM PLACAS CIMENTÍCIAS.</t>
  </si>
  <si>
    <t>PLACA CIMENTÍCIA 120X240 #10MM -Eterplac Standard OU EQUIVALENTE.</t>
  </si>
  <si>
    <t>Rever cotação</t>
  </si>
  <si>
    <t xml:space="preserve">Tratamento de junta das placas cimenticias </t>
  </si>
  <si>
    <t>?</t>
  </si>
  <si>
    <t>SERVIÇOS FINAIS</t>
  </si>
  <si>
    <t>RECOMPOSIÇÃO DE PISO TÁTIL(CONFORME O EXISTENTE)</t>
  </si>
  <si>
    <t>SETOP/MG</t>
  </si>
  <si>
    <t>PIS-LAD-020</t>
  </si>
  <si>
    <t>SETOP/MG-Jan/2018</t>
  </si>
  <si>
    <t>MACACO HIDRAULICO TIPO GARRAFA- 4 TON</t>
  </si>
  <si>
    <t>Nowak.com.br</t>
  </si>
  <si>
    <t>COBERTURA PARA PROTEÇÃO DE PEDESTRES COM ESTRUTURA DE ANDAIME, INCLUSIVE MONTAGEM E DESMONTAGEM. AF_11/2017</t>
  </si>
  <si>
    <t>PINTURA DE PLATIBANDA- INTERNA E EXTERNA- NA COR EXISTENTE-APLICAÇÃO MANUAL DE PINTURA COM TINTA TEXTURIZADA ACRÍLICA EM PAREDES EXTERNAS.</t>
  </si>
  <si>
    <t>Área de platibanda INTER E EXT.</t>
  </si>
  <si>
    <t>PINTURA COM TINTA TEXTURIZADA ACRÍLICA EM PILARES,PAREDES TÉRREAS E TETO, COR EXISTENTE- EXTERNA</t>
  </si>
  <si>
    <t>m²/mês</t>
  </si>
  <si>
    <t>Ver orçamento</t>
  </si>
  <si>
    <t>1.1.4</t>
  </si>
  <si>
    <t>1.1.5</t>
  </si>
  <si>
    <t>1.1.8</t>
  </si>
  <si>
    <t>1.1.9</t>
  </si>
  <si>
    <t>1.1.10</t>
  </si>
  <si>
    <t>1.1.11</t>
  </si>
  <si>
    <t>1.1.12</t>
  </si>
  <si>
    <t>1.1.13</t>
  </si>
  <si>
    <t>1.1.14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</si>
  <si>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</si>
  <si>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</si>
  <si>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</si>
  <si>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</si>
  <si>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</si>
  <si>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</si>
  <si>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</si>
  <si>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</si>
  <si>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</si>
  <si>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</si>
  <si>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</si>
  <si>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</si>
  <si>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</si>
  <si>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</si>
  <si>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</si>
  <si>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</si>
  <si>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</si>
  <si>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</si>
  <si>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</si>
  <si>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</si>
  <si>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</si>
  <si>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</si>
  <si>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</si>
  <si>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</si>
  <si>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</si>
  <si>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</si>
  <si>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3.8</t>
  </si>
  <si>
    <t>3.9</t>
  </si>
  <si>
    <t>3.10</t>
  </si>
  <si>
    <t>3.11</t>
  </si>
  <si>
    <t>3.12</t>
  </si>
  <si>
    <t>4.3</t>
  </si>
  <si>
    <t>4.4</t>
  </si>
  <si>
    <t>4.5</t>
  </si>
  <si>
    <t>4.6</t>
  </si>
  <si>
    <t>4.7</t>
  </si>
  <si>
    <t>4.8</t>
  </si>
  <si>
    <t>4.9</t>
  </si>
  <si>
    <t>OBRA DE REFORÇO ESTRUTURAL DA 18ª ZONA ELEITORAL.</t>
  </si>
  <si>
    <t>Ref: SINAPI Fev/2018. - PCI.817.01</t>
  </si>
  <si>
    <t>SETOP / Jan/2018 - Des.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</si>
  <si>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</si>
  <si>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</si>
  <si>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</si>
  <si>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</si>
  <si>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</si>
  <si>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</si>
  <si>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</si>
  <si>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</si>
  <si>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</si>
  <si>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</si>
  <si>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</si>
  <si>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3.13</t>
  </si>
  <si>
    <t>3.14</t>
  </si>
  <si>
    <t>4.10</t>
  </si>
  <si>
    <t>4.11</t>
  </si>
  <si>
    <t>4.12</t>
  </si>
  <si>
    <t>DIRETORIA GERAL</t>
  </si>
  <si>
    <t>SECRETARIA DE ADMINISTRAÇÃO, ORÇAMENTO E FINANÇAS</t>
  </si>
  <si>
    <t>COORDENADORIA DE SERVIÇOS GERAIS</t>
  </si>
  <si>
    <t>SEÇÃO DE MANUTENÇÃO E REPAROS</t>
  </si>
  <si>
    <t>SERVIÇOS EMERGENCIAIS NO TELHADO DO GALPÃO DA SETRA</t>
  </si>
  <si>
    <t>PLANILHA 2: COMPOSIÇÃO DE BDI</t>
  </si>
  <si>
    <t>BDI aplicável às Obras e Serviços - Adaptado Acórdão nº 2.622/2013 TCU</t>
  </si>
  <si>
    <t xml:space="preserve">ADOTADO </t>
  </si>
  <si>
    <t>TCU MINIMO</t>
  </si>
  <si>
    <t>TCU MAXIMO</t>
  </si>
  <si>
    <t>Grupo</t>
  </si>
  <si>
    <t>A</t>
  </si>
  <si>
    <t>Despesas indiretas</t>
  </si>
  <si>
    <t>A.1</t>
  </si>
  <si>
    <t xml:space="preserve">Administração central </t>
  </si>
  <si>
    <t>A.2</t>
  </si>
  <si>
    <t>Garantia</t>
  </si>
  <si>
    <t>A.3</t>
  </si>
  <si>
    <t>Seguro</t>
  </si>
  <si>
    <t>A.4</t>
  </si>
  <si>
    <t>Risco</t>
  </si>
  <si>
    <t>Total do grupo A</t>
  </si>
  <si>
    <t>B</t>
  </si>
  <si>
    <t>Bonificação</t>
  </si>
  <si>
    <t>B.1</t>
  </si>
  <si>
    <t>Lucro</t>
  </si>
  <si>
    <t>Total do grupo B</t>
  </si>
  <si>
    <t>Impostos</t>
  </si>
  <si>
    <t>C.1</t>
  </si>
  <si>
    <t>PIS</t>
  </si>
  <si>
    <t>C.2</t>
  </si>
  <si>
    <t>COFINS</t>
  </si>
  <si>
    <t>C.3</t>
  </si>
  <si>
    <r>
      <t xml:space="preserve">ISSQN </t>
    </r>
    <r>
      <rPr>
        <sz val="8"/>
        <rFont val="Arial"/>
        <family val="2"/>
      </rPr>
      <t>(item 7.02 Decreto Nº 25.508/05 ART. 38, I e II, 62 e 64 do RISSQN/DF)</t>
    </r>
  </si>
  <si>
    <t>Total do grupo C</t>
  </si>
  <si>
    <t>D</t>
  </si>
  <si>
    <t>Despesas Financeiras (F)</t>
  </si>
  <si>
    <t>Total do grupo D</t>
  </si>
  <si>
    <t xml:space="preserve">BDI = </t>
  </si>
  <si>
    <t>onde,</t>
  </si>
  <si>
    <t>AC</t>
  </si>
  <si>
    <t>taxa de rateio da administração central</t>
  </si>
  <si>
    <t>DF</t>
  </si>
  <si>
    <t>taxas de despesas financeiras</t>
  </si>
  <si>
    <t>R</t>
  </si>
  <si>
    <t>taxa de risco, seguro e garantia do empreendimento</t>
  </si>
  <si>
    <t>L</t>
  </si>
  <si>
    <t>taxa de lucro</t>
  </si>
  <si>
    <t>I</t>
  </si>
  <si>
    <t>taxa de tributos (COFINS[3,00%], PIS[0,65%], ISS[2%])</t>
  </si>
  <si>
    <t xml:space="preserve">Fórmula para o cálculo do B.D.I. </t>
  </si>
  <si>
    <t>Brasília, 08 de FEVEREIRO de 2018</t>
  </si>
  <si>
    <t>RENATO WILLIAN BRUNO</t>
  </si>
  <si>
    <t>Analista Judiciário - Apoio Especializado - Mat 1998</t>
  </si>
  <si>
    <t>Engenheiro Civil - CREA 70896/D-PR</t>
  </si>
  <si>
    <t>SEMAR/CSEG/SAO</t>
  </si>
  <si>
    <t>FUNDAÇÕES PARA OS NOVOS PILARES</t>
  </si>
  <si>
    <t>LOCAÇÃO DE ANDAIMES POR 3 MESES</t>
  </si>
  <si>
    <t>COBERTURA PARA PROTEÇÃO DE PEDESTRES COM ESTRUTURA DE ANDAIME, INCLUSIVE MONTAGEM E DESMONTAGEM. AF_11/2017 (DUAS VEZES)</t>
  </si>
  <si>
    <t>PLANTIO DE ARBUSTO COM ALTURA 50 A 100CM, EM CAVA DE 60X60X60CM( PRÓXIMO A FACHADA PRINCIPAL).</t>
  </si>
  <si>
    <t>REPLANTIO DE GRAMAS EM PLACAS EM ÁREAS AFETADAS PELA EXECUÇÃO DOS SERVIÇOS(ÁREA PROXIMA A FACHADA PRINCIPAL)</t>
  </si>
  <si>
    <t>1.15</t>
  </si>
  <si>
    <t>6.2</t>
  </si>
  <si>
    <t xml:space="preserve">LIMPEZA MANUAL DO TERRENO (C/ RASPAGEM SUPERFICIAL) </t>
  </si>
  <si>
    <t>28,2x6m fachada principal.</t>
  </si>
  <si>
    <t>LIMPEZA FINAL- Considerando a área1 (28,2mx9m )+ área2 (28,2mx9m)+ área3 (39,3mx6m)+área4 (39,3m+6m).</t>
  </si>
  <si>
    <t>FORNECIMENTO E INSTALAÇÃO DE PLACA DE OBRA EM CHAPA DE ACO GALVANIZADO (2,00m X 1,50m)</t>
  </si>
  <si>
    <t>74209/002</t>
  </si>
  <si>
    <t xml:space="preserve">FORNECIMENTO E INSTALAÇÃO DE PLACA EM CHAPA DE ACO GALVANIZADO (3,00m X 2,0m)- PARA IDENTIFICAÇÃO DA EDIFICAÇÃO CONFORME ANEXO. </t>
  </si>
  <si>
    <t xml:space="preserve">FORNECIMENTO E INSTALAÇÃO DE PLACA EM CHAPA DE ACO GALVANIZADO (3,00m X 2,0m)- COM IDENTIFICAÇÃO DO CARTÓRIO  DA 18ª Z.E. CONFORME ANEXO. </t>
  </si>
  <si>
    <t>1.16</t>
  </si>
  <si>
    <t>NBR 6122</t>
  </si>
  <si>
    <t>Projeto de execução de fundações.</t>
  </si>
  <si>
    <t>Projeto de estruturas de concreto - Procedimento.</t>
  </si>
  <si>
    <t>NBR 6123</t>
  </si>
  <si>
    <t>NBR 6124</t>
  </si>
  <si>
    <t>NBR 6125</t>
  </si>
  <si>
    <t>NBR 6126</t>
  </si>
  <si>
    <t>NBR 6118/2014</t>
  </si>
  <si>
    <t>LOCACAO DA OBRA- FUNDAÇÕES PARA OS PILARES, COM USO DE EQUIPAMENTOS TOPOGRAFICOS, INCLUSIVE NIVELADOR</t>
  </si>
  <si>
    <t>MACACO HIDRAULICO TIPO GARRAFA- 4 TON- Dois estágios</t>
  </si>
  <si>
    <t>Ref: SINAPI Abril/2018. - PCI.817.01</t>
  </si>
  <si>
    <r>
      <t xml:space="preserve">ALUGUEL CONTAINER PARA ESCRITÓRIO/ALMOXARIFADO: INCL INST ELET LARG=2,20 COMP=6,20M ALT=2,50M CHAPA ACO C/NERV TRAPEZ FORRO C/ISOL TERMO/ACUSTICOCHASSIS REFORC PISO COMPENS NAVAL </t>
    </r>
    <r>
      <rPr>
        <u/>
        <sz val="9"/>
        <rFont val="Times New Roman"/>
        <family val="1"/>
      </rPr>
      <t>INCLUINDO</t>
    </r>
    <r>
      <rPr>
        <sz val="9"/>
        <rFont val="Times New Roman"/>
        <family val="1"/>
      </rPr>
      <t xml:space="preserve"> TRANSP/CARGA/DESCARGA + R$ 200,00 FRETE.</t>
    </r>
  </si>
  <si>
    <r>
      <t xml:space="preserve">ALUGUEL CONTAINER PARA REFEITÓRIO: INCL INST ELET LARG=2,20 COMP=6,20M ALT=2,50M CHAPA ACO C/NERV TRAPEZ FORRO C/ISOL TERMO/ACUSTICOCHASSIS REFORC PISO COMPENS NAVAL </t>
    </r>
    <r>
      <rPr>
        <u/>
        <sz val="9"/>
        <rFont val="Times New Roman"/>
        <family val="1"/>
      </rPr>
      <t>INCLUINDO</t>
    </r>
    <r>
      <rPr>
        <sz val="9"/>
        <rFont val="Times New Roman"/>
        <family val="1"/>
      </rPr>
      <t xml:space="preserve"> TRANSP/CARGA/DESCARGA + R$ 200,00 FRETE.</t>
    </r>
  </si>
  <si>
    <t>FORNECIMENTO E INSTALAÇÃO DE LONA PLÁSTICA PRETA, E=150 MICREA PARA A PROTEÇÃO DA COBERTURA DURANTE A EXECUÇÃO DA NOVA PLATIBANDA.</t>
  </si>
  <si>
    <t>LOCAÇÃO DE CAÇAMBA PARA ENTULHOS (Considerado volume de entulhos transportado ÷  volume da caçamba de 5m³)</t>
  </si>
  <si>
    <t>DEM-COM-010/SETOP</t>
  </si>
  <si>
    <t>DEM-MFC-005/SETOP</t>
  </si>
  <si>
    <t>REMOÇÃO DE MEIO-FIO PRÉ-MOLDADO DE CONCRETO INCLUSIVE CARGA</t>
  </si>
  <si>
    <t>90883/ adaptada</t>
  </si>
  <si>
    <t>ESTACA ESCAVADA MECANICAMENTE, SEM FLUIDO ESTABILIZANTE, COM 30 CM DE DIÂMETRO, ATÉ 9 M DE COMPRIMENTO, CONCRETO LANÇADO POR CAMINHÃO BETONEIRA (EXCLUSIVE MOBILIZAÇÃO E DESMOBILIZAÇÃO). AF_02/2015</t>
  </si>
  <si>
    <t>ARMAÇÃO DE BLOCO, VIGA BALDRAME OU SAPATA UTILIZANDO AÇO CA-50 DE 6,3 MM - MONTAGEM. AF_06/2017</t>
  </si>
  <si>
    <t>x2</t>
  </si>
  <si>
    <t>SOLDA TOPO DESCENDENTE CHANFRADA ESPESSURA=1/4" CHAPA/PERFIL/TUBO ACO COM CONVERSOR DIESEL. X2</t>
  </si>
  <si>
    <t>SOLDA TOPO DESCENDENTE CHANFRADA ESPESSURA=1/4" CHAPA/PERFIL/TUBO ACO- União com as chapas de aço.</t>
  </si>
  <si>
    <t>SUBSTITUIÇÃO DE TELHAS ONDULADAS DE FIBROCIMENTO (76 TELHAS) IGUAIS ÀS EXISTENTES (ETHERMAX 6mm ).</t>
  </si>
  <si>
    <t>Demolição de cintas e pilarestes</t>
  </si>
  <si>
    <t>Ítem</t>
  </si>
  <si>
    <t>Descrição</t>
  </si>
  <si>
    <t>Unid.</t>
  </si>
  <si>
    <t>Coeficiente</t>
  </si>
  <si>
    <t>Valor unitário</t>
  </si>
  <si>
    <t>Valor total</t>
  </si>
  <si>
    <t>1</t>
  </si>
  <si>
    <t>REVESTIMENTO EM PLACA CIMENTÍCIA</t>
  </si>
  <si>
    <t>cotação</t>
  </si>
  <si>
    <t>PLACA CIMENTÍCIA 6MM</t>
  </si>
  <si>
    <t>PARAFUSOS AUTOBROCANTES COM ASAS</t>
  </si>
  <si>
    <t>unid</t>
  </si>
  <si>
    <t>COMP.012</t>
  </si>
  <si>
    <t>Cotação</t>
  </si>
  <si>
    <t>INSTALAÇÃO PLACA CIMENT.</t>
  </si>
  <si>
    <t>DEMOLIÇÃO DE  PILARES E VIGAS (CINTA E PILARETES DA PLATIBANDA) EM CONCRETO ARMADO, DE FORMA MECANIZADA, SEM REAPROVEITAMENTO.</t>
  </si>
  <si>
    <t>PLACA CIMENTÍCIA 120X240 #10MM -Eterplac Standard OU EQUIVALENTE. 117 PEÇAS.</t>
  </si>
  <si>
    <t>142</t>
  </si>
  <si>
    <t>SELANTE ELASTICO MONOCOMPONENTE A BASE DE POLIURETANO PARA JUNTAS DIVERSAS</t>
  </si>
  <si>
    <t>310ML</t>
  </si>
  <si>
    <t>COEFICIENTE DE REPRESENTATIVIDADE</t>
  </si>
  <si>
    <t>0,3340000</t>
  </si>
  <si>
    <t>0,4000000</t>
  </si>
  <si>
    <t>74121/001</t>
  </si>
  <si>
    <t>JUNTA DE DILATACAO PARA IMPERMEABILIZACAO, COM SELANTE ELASTICO MONOCOMPONENTE A BASE DE POLIURETANO, DIMENSOES 1X1CM.</t>
  </si>
  <si>
    <t>DEMOLIÇÃO DE PLATIBANDAS E INSTALAÇÃO DE PLACAS CIMENTÍCIAS.</t>
  </si>
  <si>
    <t>40552-Adaptada</t>
  </si>
  <si>
    <t>DRE-CAN-030/SETOP-MG</t>
  </si>
  <si>
    <t>PIS-LAD-020/SETOP-MG</t>
  </si>
  <si>
    <t>CRONOGRAMA FÍSICO FINANCEIRO - ANEXO 2</t>
  </si>
  <si>
    <t>TOTAL ACUMULADO FINAL</t>
  </si>
  <si>
    <t>MÊS 01</t>
  </si>
  <si>
    <t>MÊS 02</t>
  </si>
  <si>
    <t>MÊS 03</t>
  </si>
  <si>
    <t xml:space="preserve"> SEMANA 1</t>
  </si>
  <si>
    <t xml:space="preserve"> SEMANA 2</t>
  </si>
  <si>
    <t xml:space="preserve"> SEMANA 3</t>
  </si>
  <si>
    <t xml:space="preserve"> SEMANA 4</t>
  </si>
  <si>
    <t xml:space="preserve"> SEMANA  5</t>
  </si>
  <si>
    <t xml:space="preserve"> SEMANA 6</t>
  </si>
  <si>
    <t xml:space="preserve"> SEMANA 7</t>
  </si>
  <si>
    <t xml:space="preserve"> SEMANA 8</t>
  </si>
  <si>
    <t xml:space="preserve"> SEMANA 9</t>
  </si>
  <si>
    <t xml:space="preserve"> SEMANA 10</t>
  </si>
  <si>
    <t>FÍSICO</t>
  </si>
  <si>
    <t>FINANCEIRO</t>
  </si>
  <si>
    <t xml:space="preserve">TOTAL ACUMULADO FINAL </t>
  </si>
  <si>
    <t xml:space="preserve">CUSTO </t>
  </si>
  <si>
    <r>
      <t>1</t>
    </r>
    <r>
      <rPr>
        <b/>
        <sz val="10"/>
        <rFont val="Calibri"/>
        <family val="2"/>
      </rPr>
      <t>ª MEDIÇÃO</t>
    </r>
  </si>
  <si>
    <t>CUSTO DIRETO</t>
  </si>
  <si>
    <r>
      <t>2</t>
    </r>
    <r>
      <rPr>
        <b/>
        <sz val="10"/>
        <rFont val="Calibri"/>
        <family val="2"/>
      </rPr>
      <t>ª MEDIÇÃO</t>
    </r>
  </si>
  <si>
    <t>3ª MEDIÇÃO</t>
  </si>
  <si>
    <t>BDI</t>
  </si>
  <si>
    <t>VALOR</t>
  </si>
  <si>
    <t>% Físico</t>
  </si>
  <si>
    <t>VALOR DOS SERVIÇOS</t>
  </si>
  <si>
    <t>TOTAL DAS FATURAS</t>
  </si>
  <si>
    <t>1a med.</t>
  </si>
  <si>
    <t>2a med.</t>
  </si>
  <si>
    <t>3a med.</t>
  </si>
  <si>
    <t>acumulado</t>
  </si>
  <si>
    <t>VALOR DA FATURA</t>
  </si>
  <si>
    <t>ENCARREGADO GERAL COM ENCARGOS COMPLEMENTARES COM ENCARGOS COMPLEMENTARES. (Considerado prazo de execução de 10 semanas: 8h dirárias x5 dias úteis x 10 semanas</t>
  </si>
  <si>
    <t>MONTADOR DE ESTRUTURA METÁLICA COM ENCARGOS COMPLEMENTARES</t>
  </si>
  <si>
    <t>0,1362000</t>
  </si>
  <si>
    <t>(m²/mês)x3 meses</t>
  </si>
  <si>
    <t>LIMPEZA MANUAL DO TERRENO - Com preservação das arvores nativas-(C/ RASPAGEM SUPERFICIAL) -Considerando área: comprimento da fachadax 4m de largura).</t>
  </si>
  <si>
    <t>COMP. 012</t>
  </si>
  <si>
    <t>EMISSÃO DE ANOTAÇÃO DE RESPONSABILIDADE TÉCNICA - ART: EXECUÇÃO DA OBRA.</t>
  </si>
  <si>
    <t>Prazo: 2 semanas (14 dd corridos)</t>
  </si>
  <si>
    <t>Prazo: 4 semanas (28 dd corridos)</t>
  </si>
  <si>
    <t>PLACA CIMENTÍCIA 10MM</t>
  </si>
  <si>
    <t>desenhar modelo</t>
  </si>
  <si>
    <t>4.13</t>
  </si>
  <si>
    <t>LOCAÇÃO DE ANDAIMES; R$6,00 m²/mês</t>
  </si>
  <si>
    <t>LIMPEZA FINAL- Considerando a área1 (28,2mx9m )+ área2 (28,2mx9m)+ área3 (39,3mx6m)+área4 (39,3mx6m).</t>
  </si>
  <si>
    <t>PRAZO DE EXECUÇÃO DA OBRA: 70 dias corridos ou 10 semanas.</t>
  </si>
  <si>
    <t>Composição de custo</t>
  </si>
  <si>
    <t>PERFIL DOBRADO/CORTADO # 1/2</t>
  </si>
  <si>
    <t>PERFIL DOBRADO/CORTADO # 5/8</t>
  </si>
  <si>
    <t>PERFIL DOBRADO/CORTADO SAC # 11</t>
  </si>
  <si>
    <t>PERFIL DOBRADO/CORTADO SAC # 12</t>
  </si>
  <si>
    <t>PERFIL DOBRADO/CORTADO SAC # 3/16</t>
  </si>
  <si>
    <t>PERFIL U SIMPLES-COR 100X50 # 12 X 6000MM-23,50KG.</t>
  </si>
  <si>
    <t>PLACA CIMENTICIA-10MM-2,40X1,20MT-ETERNIT- 49KG</t>
  </si>
  <si>
    <t>barra</t>
  </si>
  <si>
    <t>Custo unit.</t>
  </si>
  <si>
    <t>FerragensPinheiro</t>
  </si>
  <si>
    <t>Gerdau</t>
  </si>
  <si>
    <t>PERFIL LQUS 100X50X2,65X6000</t>
  </si>
  <si>
    <t>TB LQ NBR6591/8261 40X40X2,65X6000</t>
  </si>
  <si>
    <t>CHAPA LQ A36 4,75x1200x3000</t>
  </si>
  <si>
    <t>PERFIL LQUE A36 100X50X17X3X6000</t>
  </si>
  <si>
    <t>R$/kg</t>
  </si>
  <si>
    <t>CHAPA DOBR # 3/16 S/E SAC/COR</t>
  </si>
  <si>
    <t>CHAPA CORT # 1/2 S/E CIVIL</t>
  </si>
  <si>
    <t>CHAPA PLASMA/OXICORT # 5/8 SAC/COR</t>
  </si>
  <si>
    <t>CHAPA DOBR # 11 S/E</t>
  </si>
  <si>
    <t>CHUMBADOR 1 700x100 1010/1020 MEC C/ROS</t>
  </si>
  <si>
    <t>PERFIL ENR 100X50X17 # 12 SAC/COR C/6000</t>
  </si>
  <si>
    <t>PERFIL SIM 93X40 # 12 SAC/COR</t>
  </si>
  <si>
    <t>CHAPA DOBR # 12 S/E SAC/COR</t>
  </si>
  <si>
    <t>CHAPA CORT # 3/16 S/E SAC/COR</t>
  </si>
  <si>
    <t>PARABOLT C/ PORCA+ARR 3 3/4 X 3/8 PB</t>
  </si>
  <si>
    <t>PLACA CIMENT 10mm 2,4X1,2m PLUS BRASILIT</t>
  </si>
  <si>
    <t>CHAPA DOBR # 12 S/E</t>
  </si>
  <si>
    <t>PERFIL SIM 100X50 # 12</t>
  </si>
  <si>
    <t>PERFIL SIM 93X40 # 12</t>
  </si>
  <si>
    <t>Pç</t>
  </si>
  <si>
    <t>cotação Gerdau</t>
  </si>
  <si>
    <t>Cotação Gravia</t>
  </si>
  <si>
    <t xml:space="preserve">Cotação R$ 100,65,53 a unidade de 120X240 #10MM </t>
  </si>
  <si>
    <t>sinapi</t>
  </si>
  <si>
    <t>Mercado/Gerdau</t>
  </si>
  <si>
    <t>Mercado/Gravia</t>
  </si>
  <si>
    <t>Composição</t>
  </si>
  <si>
    <t>Valor</t>
  </si>
  <si>
    <t>Qtde.</t>
  </si>
  <si>
    <t>Percentual</t>
  </si>
  <si>
    <t>Categoria</t>
  </si>
  <si>
    <t>CLASSIFICAÇÃO</t>
  </si>
  <si>
    <t>Acumulado</t>
  </si>
  <si>
    <t>SERVIÇOS</t>
  </si>
  <si>
    <t>Cotações de mercado/Perfis</t>
  </si>
  <si>
    <t>Atualizado em 06/06/2018</t>
  </si>
  <si>
    <t>Atualizado em 07/06/2018</t>
  </si>
  <si>
    <t>ALUGUEL CONTAINER PARA ESCRITÓRIO/ALMOXARIFADO: INCL INST ELET LARG=2,20 COMP=6,20M ALT=2,50M CHAPA ACO C/NERV TRAPEZ FORRO C/ISOL TERMO/ACUSTICOCHASSIS REFORC PISO COMPENS NAVAL INCLUINDO TRANSP/CARGA/DESCARGA + R$ 200,00 FRETE.</t>
  </si>
  <si>
    <t>ALUGUEL CONTAINER PARA REFEITÓRIO: INCL INST ELET LARG=2,20 COMP=6,20M ALT=2,50M CHAPA ACO C/NERV TRAPEZ FORRO C/ISOL TERMO/ACUSTICOCHASSIS REFORC PISO COMPENS NAVAL INCLUINDO TRANSP/CARGA/DESCARGA + R$ 200,00 FRETE.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</si>
  <si>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</si>
  <si>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</si>
  <si>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</si>
  <si>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</si>
  <si>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</si>
  <si>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</si>
  <si>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</si>
  <si>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</si>
  <si>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</si>
  <si>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6+1</t>
  </si>
  <si>
    <t>CUSTO/BDI</t>
  </si>
  <si>
    <t>%</t>
  </si>
  <si>
    <t>% ACUMULADO</t>
  </si>
  <si>
    <t>5.10</t>
  </si>
  <si>
    <t>APLICAÇÃO MANUAL DE FUNDO ACRÍLICO EM PAREDES EXTERNAS</t>
  </si>
  <si>
    <t>SERVIÇOS PRELIMINARES E PROJETOS</t>
  </si>
  <si>
    <t>Ref: SINAPI Junho/2018. - PCI.817.01</t>
  </si>
  <si>
    <t xml:space="preserve">FORNECIMENTO E INSTALAÇÃO DE PLACA EM CHAPA DE ACO GALVANIZADO (3,00m X 2,0m) - COM IDENTIFICAÇÃO DO CARTÓRIO  DA 18ª Z.E. CONFORME ANEXO. </t>
  </si>
  <si>
    <r>
      <t xml:space="preserve">ALUGUEL CONTAINER PARA </t>
    </r>
    <r>
      <rPr>
        <u/>
        <sz val="9"/>
        <rFont val="Times New Roman"/>
        <family val="1"/>
      </rPr>
      <t>REFEITÓRIO</t>
    </r>
    <r>
      <rPr>
        <sz val="9"/>
        <rFont val="Times New Roman"/>
        <family val="1"/>
      </rPr>
      <t xml:space="preserve">: INCL INST ELET LARG=2,20 COMP=6,20M ALT=2,50M CHAPA ACO C/NERV TRAPEZ FORRO C/ISOL TERMO/ACUSTICOCHASSIS REFORC PISO COMPENS NAVAL </t>
    </r>
    <r>
      <rPr>
        <u/>
        <sz val="9"/>
        <rFont val="Times New Roman"/>
        <family val="1"/>
      </rPr>
      <t>INCLUINDO</t>
    </r>
    <r>
      <rPr>
        <sz val="9"/>
        <rFont val="Times New Roman"/>
        <family val="1"/>
      </rPr>
      <t xml:space="preserve"> TRANSP/CARGA/DESCARGA + R$ 200,00 FRETE.</t>
    </r>
  </si>
  <si>
    <r>
      <t>ALUGUEL CONTAINER PARA</t>
    </r>
    <r>
      <rPr>
        <u/>
        <sz val="9"/>
        <rFont val="Times New Roman"/>
        <family val="1"/>
      </rPr>
      <t xml:space="preserve"> ESCRITÓRIO/ALMOXARIFADO</t>
    </r>
    <r>
      <rPr>
        <sz val="9"/>
        <rFont val="Times New Roman"/>
        <family val="1"/>
      </rPr>
      <t xml:space="preserve">: INCL INST ELET LARG=2,20m COMP=6,20m ALT=2,50m CHAPA ACO C/NERV TRAPEZ FORRO C/ISOL TERMO/ACUSTICOCHASSIS REFORC PISO COMPENS NAVAL </t>
    </r>
    <r>
      <rPr>
        <u/>
        <sz val="9"/>
        <rFont val="Times New Roman"/>
        <family val="1"/>
      </rPr>
      <t>INCLUINDO</t>
    </r>
    <r>
      <rPr>
        <sz val="9"/>
        <rFont val="Times New Roman"/>
        <family val="1"/>
      </rPr>
      <t xml:space="preserve"> TRANSP/CARGA/DESCARGA + R$ 200,00 FRETE.</t>
    </r>
  </si>
  <si>
    <t>LOCAÇÃO DE ANDAIMES: R$6,00 m²/mês</t>
  </si>
  <si>
    <t>LIMPEZA MANUAL DO TERRENO - Com preservação das árvores nativas - (C/ RASPAGEM SUPERFICIAL) -Considerando área: comprimento da fachada x 4m de largura).</t>
  </si>
  <si>
    <t xml:space="preserve">FORNECIMENTO E INSTALAÇÃO DE TAPUMES : PROTEÇÃO DE PESSOAS E MATERIAIS E ISOLAMENTO DE ÁREAS DE TRABALHO. </t>
  </si>
  <si>
    <t>FORNECIMENTO E INSTALAÇÃO DE ISOLAMENTO DE OBRA COM TELA PLÁSTICA COM MALHA DE 5MM E ESTRUTURA DE MADEIRA PONTALETEADA, PARA PROTEÇÃO: DEMARCAÇÃO DO PERÍMETRO DE SEGURANÇA DA ÁREA DE EXECUÇÃO DOS SERVIÇOS DE REFORÇO ESTRUTRUAL E DELIMITAÇÃO DE CANTEIRO DE OBRAS.</t>
  </si>
  <si>
    <t>ENCARREGADO GERAL COM ENCARGOS COMPLEMENTARES . (Considerado prazo de execução de 10 semanas: 8h diárias x 5 dias úteis x 10 semanas</t>
  </si>
  <si>
    <t>LOCAÇÃO DA OBRA- FUNDAÇÕES PARA OS PILARES, COM USO DE EQUIPAMENTOS TOPOGRÁFICOS, INCLUSIVE NIVELADOR</t>
  </si>
  <si>
    <t>DEM-CON-005/SETOP</t>
  </si>
  <si>
    <t>90883 - Adaptada</t>
  </si>
  <si>
    <t>PARA LASTRO - CONCRETO FCK = 15MPA, TRAÇO 1:3,4:3,5 (CIMENTO/ AREIA MÉDIA/ BRITA 1) M3 - PREPARO MECÂNICO COM BETONEIRA 600 L. AF_07/2016</t>
  </si>
  <si>
    <t>96546 - Adaptada</t>
  </si>
  <si>
    <t>IMPERMEABILIZAÇÃO DE ESTRUTURAS ENTERRADAS, COM TINTA ASFÁLTICA, DUAS DEMÃOS.</t>
  </si>
  <si>
    <t>ESTRUTURA DE REFORÇO - PILARES E ESCORAS DE AÇO DA ESTRUTURA DAS MARQUISES.</t>
  </si>
  <si>
    <t>SERVIÇO TOPOGRÁFICO PARA VERIFICAÇÃO DO NIVELAMENTO DA MARQUISE.</t>
  </si>
  <si>
    <t>LOCACAOO DE TEODOLITO ELETRONICO, PRECISAO ANGULAR DE 5 A 7 SEGUNDOS, INCLUINDO TRIPE</t>
  </si>
  <si>
    <t>ESTRUTURA METÁLICA EM AÇO PILARES-PERFIL DE CHAPA DOBRADA CAIXA U ENRIJECIDO AÇO USI SAC 300, 2X200X100X17 #3/16"-0,476 CM</t>
  </si>
  <si>
    <t>SOLDA TOPO DESCENDENTE CHANFRADA ESPESSURA=1/4" CHAPA/PERFIL/TUBO AÇO- União com as chapas de aço.</t>
  </si>
  <si>
    <t>PARAFUSO DE AÇO TIPO CHUMBADOR PARABOLT, DIÂMETRO 1/2", COMPRIMENTO 75 MM</t>
  </si>
  <si>
    <t>PORCA ZINCADA, SEXTAVADA, DIÂMETRO 1"</t>
  </si>
  <si>
    <t>PRANCHA DE MADEIRA 2A QUALIDADE SERRADA NÃO APARELHADA</t>
  </si>
  <si>
    <t>DEMOLIÇÃO DA PLATIBANDA EXISTENTE (DEMOLIÇÃO DE ALVENARIA PARA QUALQUER TIPO DE BLOCO, DE FORMA MECANIZADA, SEM REAPROVEITAMENTO. AF_12/2017)</t>
  </si>
  <si>
    <t>JUNTA DE DILATAÇÃO PARA IMPERMEABILIZAÇÃO, COM SELANTE ELÁSTICO MONOCOMPONENTE A BASE DE POLIURETANO, DIMENSÕES 1X1CM.</t>
  </si>
  <si>
    <t>PARAFUSO DE AÇO TIPO CHUMBADOR PARABOLT, DIÂMETRO 3/8"", COMPRIMENTO 75 MM</t>
  </si>
  <si>
    <t>REPARO/COLAGEM DE ESTRUTURAS DE CONCRETO COM ADESIVO ESTRUTURAL A BASE DE EPÓXI, E=2 MM - SIKADUR 32 OU EQUIVALENTE.</t>
  </si>
  <si>
    <t>40552 - Adaptada</t>
  </si>
  <si>
    <t>PINTURA ACRÍLICA EM PISO CIMENTADO, TRÊS DEMÃOS</t>
  </si>
  <si>
    <t>PINTURA DOS PILARES e CHAPAS METÁLICAS - PINTURA ESMALTE FOSCO, DUAS DEMÃOS, SOBRE SUPERFÍCIE METÁLICA, INCLUSO UMA DEMÃO DE FUNDO ANTICORROSIVO. UTILIZAÇÃO DE REVOLVER ( AR-COMPRIMIDO).</t>
  </si>
  <si>
    <t>PINTURA COM TINTA TEXTURIZADA ACRÍLICA EM PILARES, PAREDES TÉRREAS E TETO, COR EXISTENTE - EXTERNA</t>
  </si>
  <si>
    <t>PINTURA DE PLATIBANDA - INTERNA E EXTERNA - NA COR EXISTENTE -APLICAÇÃO MANUAL DE PINTURA COM TINTA TEXTURIZADA ACRÍLICA EM PAREDES EXTERNAS.</t>
  </si>
  <si>
    <t>MACACO HIDRÁULICO TIPO GARRAFA- 4 TON - Dois estágios</t>
  </si>
  <si>
    <t>CHUMBADORES BARRA ROSCADA D= 1" L=200mm</t>
  </si>
  <si>
    <t>Mercado</t>
  </si>
  <si>
    <t xml:space="preserve"> Mercado</t>
  </si>
  <si>
    <t xml:space="preserve">EMISSÃO DE ANOTAÇÃO DE RESPONSABILIDADE TÉCNICA - ART: EXECUÇÃO DA OBRA E DETALHAMENTO DE PROJETO DE ESTRUTURAS. </t>
  </si>
</sst>
</file>

<file path=xl/styles.xml><?xml version="1.0" encoding="utf-8"?>
<styleSheet xmlns="http://schemas.openxmlformats.org/spreadsheetml/2006/main">
  <numFmts count="1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0.0000"/>
    <numFmt numFmtId="167" formatCode="_-* #,##0.0000_-;\-* #,##0.0000_-;_-* &quot;-&quot;??_-;_-@_-"/>
    <numFmt numFmtId="168" formatCode="#,##0_);\-#,##0"/>
    <numFmt numFmtId="169" formatCode="#,##0.000"/>
    <numFmt numFmtId="170" formatCode="_(* #,##0.00_);_(* \(#,##0.00\);_(* \-??_);_(@_)"/>
    <numFmt numFmtId="171" formatCode="_(&quot;R$ &quot;* #,##0.00_);_(&quot;R$ &quot;* \(#,##0.00\);_(&quot;R$ &quot;* &quot;-&quot;??_);_(@_)"/>
    <numFmt numFmtId="172" formatCode="_-* #,##0.00_-;\-* #,##0.00_-;_-* \-??_-;_-@_-"/>
    <numFmt numFmtId="173" formatCode="* #,##0.00\ ;* \(#,##0.00\);* \-#\ ;@\ "/>
    <numFmt numFmtId="174" formatCode="0.0000000%"/>
    <numFmt numFmtId="175" formatCode="dddd&quot;, &quot;mmmm\ dd&quot;, &quot;yyyy"/>
    <numFmt numFmtId="176" formatCode="_(* #,##0_);_(* \(#,##0\);_(* &quot;-&quot;??_);_(@_)"/>
  </numFmts>
  <fonts count="6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Courier"/>
      <family val="3"/>
    </font>
    <font>
      <sz val="8"/>
      <color indexed="8"/>
      <name val="Courier"/>
      <family val="3"/>
    </font>
    <font>
      <sz val="8"/>
      <color rgb="FFFF0000"/>
      <name val="Courier"/>
      <family val="3"/>
    </font>
    <font>
      <sz val="11"/>
      <color indexed="18"/>
      <name val="Arial"/>
      <family val="2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sz val="11"/>
      <color rgb="FF333333"/>
      <name val="Open Sans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name val="Calibri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Courier New"/>
      <family val="3"/>
    </font>
    <font>
      <sz val="10"/>
      <color rgb="FFD60093"/>
      <name val="Times New Roman"/>
      <family val="1"/>
    </font>
    <font>
      <b/>
      <sz val="10"/>
      <name val="Calibri"/>
      <family val="2"/>
    </font>
    <font>
      <sz val="10"/>
      <name val="Times New Roman"/>
      <family val="1"/>
      <charset val="204"/>
    </font>
    <font>
      <u/>
      <sz val="10"/>
      <color indexed="12"/>
      <name val="Arial"/>
      <family val="2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9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8"/>
      <color indexed="8"/>
      <name val="Courier"/>
      <family val="3"/>
    </font>
    <font>
      <b/>
      <sz val="15"/>
      <color indexed="8"/>
      <name val="Courier"/>
      <family val="3"/>
    </font>
    <font>
      <sz val="8"/>
      <name val="Courier"/>
      <family val="3"/>
    </font>
    <font>
      <sz val="10"/>
      <color theme="1"/>
      <name val="Times New Roman"/>
      <family val="1"/>
    </font>
  </fonts>
  <fills count="7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8"/>
      </patternFill>
    </fill>
    <fill>
      <patternFill patternType="solid">
        <fgColor indexed="43"/>
        <b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96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9" fontId="2" fillId="0" borderId="0" applyFill="0" applyBorder="0" applyAlignment="0" applyProtection="0"/>
    <xf numFmtId="0" fontId="16" fillId="24" borderId="8" applyNumberFormat="0" applyAlignment="0" applyProtection="0"/>
    <xf numFmtId="4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44" fontId="2" fillId="0" borderId="0" applyFont="0" applyFill="0" applyBorder="0" applyAlignment="0" applyProtection="0"/>
    <xf numFmtId="0" fontId="3" fillId="0" borderId="0"/>
    <xf numFmtId="9" fontId="2" fillId="0" borderId="0" applyFill="0" applyBorder="0" applyAlignment="0" applyProtection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9" fontId="2" fillId="0" borderId="0" applyFill="0" applyBorder="0" applyAlignment="0" applyProtection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/>
    <xf numFmtId="9" fontId="2" fillId="0" borderId="0" applyFill="0" applyBorder="0" applyAlignment="0" applyProtection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9" fontId="2" fillId="0" borderId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9" fontId="2" fillId="0" borderId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9" fontId="2" fillId="0" borderId="0" applyFill="0" applyBorder="0" applyAlignment="0" applyProtection="0"/>
    <xf numFmtId="0" fontId="18" fillId="0" borderId="9" applyNumberFormat="0" applyFill="0" applyAlignment="0" applyProtection="0"/>
    <xf numFmtId="43" fontId="3" fillId="0" borderId="0" applyFont="0" applyFill="0" applyBorder="0" applyAlignment="0" applyProtection="0"/>
    <xf numFmtId="9" fontId="2" fillId="0" borderId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9" fontId="2" fillId="0" borderId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9" fontId="2" fillId="0" borderId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9" fontId="2" fillId="0" borderId="0" applyFill="0" applyBorder="0" applyAlignment="0" applyProtection="0"/>
    <xf numFmtId="0" fontId="18" fillId="0" borderId="9" applyNumberFormat="0" applyFill="0" applyAlignment="0" applyProtection="0"/>
    <xf numFmtId="43" fontId="3" fillId="0" borderId="0" applyFont="0" applyFill="0" applyBorder="0" applyAlignment="0" applyProtection="0"/>
    <xf numFmtId="9" fontId="2" fillId="0" borderId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9" fontId="2" fillId="0" borderId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ill="0" applyBorder="0" applyAlignment="0" applyProtection="0"/>
    <xf numFmtId="0" fontId="18" fillId="0" borderId="9" applyNumberFormat="0" applyFill="0" applyAlignment="0" applyProtection="0"/>
    <xf numFmtId="43" fontId="3" fillId="0" borderId="0" applyFont="0" applyFill="0" applyBorder="0" applyAlignment="0" applyProtection="0"/>
    <xf numFmtId="9" fontId="2" fillId="0" borderId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9" fontId="2" fillId="0" borderId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9" fontId="2" fillId="0" borderId="0" applyFill="0" applyBorder="0" applyAlignment="0" applyProtection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/>
    <xf numFmtId="9" fontId="2" fillId="0" borderId="0" applyFill="0" applyBorder="0" applyAlignment="0" applyProtection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/>
    <xf numFmtId="0" fontId="3" fillId="0" borderId="0"/>
    <xf numFmtId="0" fontId="3" fillId="0" borderId="0"/>
    <xf numFmtId="9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29" fillId="0" borderId="0"/>
    <xf numFmtId="0" fontId="3" fillId="0" borderId="0"/>
    <xf numFmtId="9" fontId="2" fillId="0" borderId="0" applyFill="0" applyBorder="0" applyAlignment="0" applyProtection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0" fontId="2" fillId="0" borderId="0"/>
    <xf numFmtId="0" fontId="3" fillId="0" borderId="0"/>
    <xf numFmtId="9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4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9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/>
    <xf numFmtId="0" fontId="2" fillId="0" borderId="0"/>
    <xf numFmtId="0" fontId="29" fillId="0" borderId="0"/>
    <xf numFmtId="0" fontId="3" fillId="0" borderId="0"/>
    <xf numFmtId="9" fontId="2" fillId="0" borderId="0" applyFill="0" applyBorder="0" applyAlignment="0" applyProtection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/>
    <xf numFmtId="9" fontId="2" fillId="0" borderId="0" applyFill="0" applyBorder="0" applyAlignment="0" applyProtection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/>
    <xf numFmtId="9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44" fontId="2" fillId="0" borderId="0" applyFont="0" applyFill="0" applyBorder="0" applyAlignment="0" applyProtection="0"/>
    <xf numFmtId="9" fontId="2" fillId="0" borderId="0" applyFill="0" applyBorder="0" applyAlignment="0" applyProtection="0"/>
    <xf numFmtId="43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3" fillId="59" borderId="0" applyNumberFormat="0" applyBorder="0" applyAlignment="0" applyProtection="0"/>
    <xf numFmtId="0" fontId="63" fillId="0" borderId="97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61" fillId="0" borderId="0"/>
    <xf numFmtId="0" fontId="16" fillId="47" borderId="8" applyNumberFormat="0" applyAlignment="0" applyProtection="0"/>
    <xf numFmtId="0" fontId="1" fillId="76" borderId="7" applyNumberFormat="0" applyAlignment="0" applyProtection="0"/>
    <xf numFmtId="0" fontId="60" fillId="0" borderId="0"/>
    <xf numFmtId="0" fontId="15" fillId="56" borderId="0" applyNumberFormat="0" applyBorder="0" applyAlignment="0" applyProtection="0"/>
    <xf numFmtId="43" fontId="1" fillId="0" borderId="0" applyFont="0" applyFill="0" applyBorder="0" applyAlignment="0" applyProtection="0"/>
    <xf numFmtId="0" fontId="13" fillId="62" borderId="1" applyNumberFormat="0" applyAlignment="0" applyProtection="0"/>
    <xf numFmtId="0" fontId="3" fillId="8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9" fillId="59" borderId="0" applyNumberFormat="0" applyBorder="0" applyAlignment="0" applyProtection="0"/>
    <xf numFmtId="175" fontId="1" fillId="0" borderId="0" applyFill="0" applyBorder="0" applyAlignment="0" applyProtection="0"/>
    <xf numFmtId="0" fontId="7" fillId="75" borderId="2" applyNumberFormat="0" applyAlignment="0" applyProtection="0"/>
    <xf numFmtId="0" fontId="6" fillId="47" borderId="1" applyNumberFormat="0" applyAlignment="0" applyProtection="0"/>
    <xf numFmtId="0" fontId="5" fillId="58" borderId="0" applyNumberFormat="0" applyBorder="0" applyAlignment="0" applyProtection="0"/>
    <xf numFmtId="0" fontId="4" fillId="74" borderId="0" applyNumberFormat="0" applyBorder="0" applyAlignment="0" applyProtection="0"/>
    <xf numFmtId="0" fontId="4" fillId="69" borderId="0" applyNumberFormat="0" applyBorder="0" applyAlignment="0" applyProtection="0"/>
    <xf numFmtId="0" fontId="4" fillId="68" borderId="0" applyNumberFormat="0" applyBorder="0" applyAlignment="0" applyProtection="0"/>
    <xf numFmtId="0" fontId="4" fillId="73" borderId="0" applyNumberFormat="0" applyBorder="0" applyAlignment="0" applyProtection="0"/>
    <xf numFmtId="0" fontId="4" fillId="72" borderId="0" applyNumberFormat="0" applyBorder="0" applyAlignment="0" applyProtection="0"/>
    <xf numFmtId="0" fontId="4" fillId="71" borderId="0" applyNumberFormat="0" applyBorder="0" applyAlignment="0" applyProtection="0"/>
    <xf numFmtId="0" fontId="4" fillId="68" borderId="0" applyNumberFormat="0" applyBorder="0" applyAlignment="0" applyProtection="0"/>
    <xf numFmtId="0" fontId="4" fillId="65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3" fillId="66" borderId="0" applyNumberFormat="0" applyBorder="0" applyAlignment="0" applyProtection="0"/>
    <xf numFmtId="0" fontId="3" fillId="63" borderId="0" applyNumberFormat="0" applyBorder="0" applyAlignment="0" applyProtection="0"/>
    <xf numFmtId="0" fontId="3" fillId="60" borderId="0" applyNumberFormat="0" applyBorder="0" applyAlignment="0" applyProtection="0"/>
    <xf numFmtId="0" fontId="3" fillId="65" borderId="0" applyNumberFormat="0" applyBorder="0" applyAlignment="0" applyProtection="0"/>
    <xf numFmtId="0" fontId="3" fillId="64" borderId="0" applyNumberFormat="0" applyBorder="0" applyAlignment="0" applyProtection="0"/>
    <xf numFmtId="0" fontId="3" fillId="63" borderId="0" applyNumberFormat="0" applyBorder="0" applyAlignment="0" applyProtection="0"/>
    <xf numFmtId="0" fontId="3" fillId="60" borderId="0" applyNumberFormat="0" applyBorder="0" applyAlignment="0" applyProtection="0"/>
    <xf numFmtId="9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59" fillId="0" borderId="0" applyNumberFormat="0" applyFill="0" applyBorder="0" applyAlignment="0" applyProtection="0">
      <alignment vertical="top"/>
      <protection locked="0"/>
    </xf>
    <xf numFmtId="173" fontId="1" fillId="0" borderId="0" applyBorder="0" applyAlignment="0" applyProtection="0"/>
    <xf numFmtId="172" fontId="58" fillId="0" borderId="0"/>
    <xf numFmtId="171" fontId="5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23" borderId="7" applyNumberFormat="0" applyFont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ill="0" applyBorder="0" applyAlignment="0" applyProtection="0"/>
    <xf numFmtId="0" fontId="16" fillId="20" borderId="8" applyNumberFormat="0" applyAlignment="0" applyProtection="0"/>
    <xf numFmtId="0" fontId="1" fillId="0" borderId="0"/>
    <xf numFmtId="0" fontId="6" fillId="20" borderId="1" applyNumberFormat="0" applyAlignment="0" applyProtection="0"/>
    <xf numFmtId="0" fontId="3" fillId="10" borderId="0" applyNumberFormat="0" applyBorder="0" applyAlignment="0" applyProtection="0"/>
    <xf numFmtId="0" fontId="12" fillId="0" borderId="6" applyNumberFormat="0" applyFill="0" applyAlignment="0" applyProtection="0"/>
    <xf numFmtId="0" fontId="11" fillId="0" borderId="5" applyNumberFormat="0" applyFill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4" fillId="1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7" fillId="21" borderId="2" applyNumberFormat="0" applyAlignment="0" applyProtection="0"/>
    <xf numFmtId="0" fontId="1" fillId="0" borderId="0"/>
    <xf numFmtId="0" fontId="3" fillId="0" borderId="0"/>
    <xf numFmtId="17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9" fontId="1" fillId="0" borderId="0" applyFill="0" applyBorder="0" applyAlignment="0" applyProtection="0"/>
    <xf numFmtId="0" fontId="4" fillId="13" borderId="0" applyNumberFormat="0" applyBorder="0" applyAlignment="0" applyProtection="0"/>
    <xf numFmtId="0" fontId="20" fillId="0" borderId="0">
      <alignment vertical="top" wrapText="1"/>
    </xf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18" borderId="0" applyNumberFormat="0" applyBorder="0" applyAlignment="0" applyProtection="0"/>
    <xf numFmtId="0" fontId="2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4" fillId="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0" fontId="58" fillId="0" borderId="0"/>
    <xf numFmtId="9" fontId="58" fillId="0" borderId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171" fontId="58" fillId="0" borderId="0"/>
    <xf numFmtId="0" fontId="1" fillId="0" borderId="0" applyNumberFormat="0" applyFont="0" applyFill="0" applyBorder="0" applyAlignment="0" applyProtection="0"/>
    <xf numFmtId="0" fontId="1" fillId="23" borderId="7" applyNumberFormat="0" applyFont="0" applyAlignment="0" applyProtection="0"/>
    <xf numFmtId="0" fontId="1" fillId="0" borderId="0" applyNumberFormat="0" applyFont="0" applyFill="0" applyBorder="0" applyAlignment="0" applyProtection="0"/>
    <xf numFmtId="9" fontId="1" fillId="0" borderId="0" applyFill="0" applyBorder="0" applyAlignment="0" applyProtection="0"/>
    <xf numFmtId="0" fontId="4" fillId="17" borderId="0" applyNumberFormat="0" applyBorder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Protection="0">
      <alignment vertical="top" wrapText="1"/>
    </xf>
    <xf numFmtId="0" fontId="1" fillId="0" borderId="0"/>
    <xf numFmtId="0" fontId="4" fillId="16" borderId="0" applyNumberFormat="0" applyBorder="0" applyAlignment="0" applyProtection="0"/>
    <xf numFmtId="9" fontId="1" fillId="0" borderId="0" applyFill="0" applyBorder="0" applyAlignment="0" applyProtection="0"/>
    <xf numFmtId="0" fontId="56" fillId="0" borderId="0">
      <alignment vertical="top" wrapText="1"/>
    </xf>
    <xf numFmtId="0" fontId="1" fillId="0" borderId="0"/>
    <xf numFmtId="0" fontId="1" fillId="0" borderId="0" applyNumberFormat="0" applyFont="0" applyFill="0" applyBorder="0" applyAlignment="0" applyProtection="0"/>
    <xf numFmtId="0" fontId="14" fillId="0" borderId="3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9" fontId="1" fillId="0" borderId="0" applyFill="0" applyBorder="0" applyAlignment="0" applyProtection="0"/>
    <xf numFmtId="0" fontId="4" fillId="14" borderId="0" applyNumberFormat="0" applyBorder="0" applyAlignment="0" applyProtection="0"/>
    <xf numFmtId="0" fontId="1" fillId="23" borderId="7" applyNumberFormat="0" applyFont="0" applyAlignment="0" applyProtection="0"/>
    <xf numFmtId="9" fontId="1" fillId="0" borderId="0" applyFill="0" applyBorder="0" applyAlignment="0" applyProtection="0"/>
    <xf numFmtId="0" fontId="4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9" fontId="1" fillId="0" borderId="0" applyFill="0" applyBorder="0" applyAlignment="0" applyProtection="0"/>
    <xf numFmtId="0" fontId="4" fillId="10" borderId="0" applyNumberFormat="0" applyBorder="0" applyAlignment="0" applyProtection="0"/>
    <xf numFmtId="0" fontId="1" fillId="0" borderId="0"/>
    <xf numFmtId="0" fontId="29" fillId="0" borderId="0"/>
    <xf numFmtId="9" fontId="1" fillId="0" borderId="0" applyFill="0" applyBorder="0" applyAlignment="0" applyProtection="0"/>
    <xf numFmtId="0" fontId="4" fillId="9" borderId="0" applyNumberFormat="0" applyBorder="0" applyAlignment="0" applyProtection="0"/>
    <xf numFmtId="0" fontId="1" fillId="0" borderId="0"/>
    <xf numFmtId="0" fontId="29" fillId="0" borderId="0"/>
    <xf numFmtId="9" fontId="1" fillId="0" borderId="0" applyFill="0" applyBorder="0" applyAlignment="0" applyProtection="0"/>
    <xf numFmtId="0" fontId="4" fillId="12" borderId="0" applyNumberFormat="0" applyBorder="0" applyAlignment="0" applyProtection="0"/>
    <xf numFmtId="0" fontId="29" fillId="0" borderId="0"/>
    <xf numFmtId="9" fontId="1" fillId="0" borderId="0" applyFill="0" applyBorder="0" applyAlignment="0" applyProtection="0"/>
    <xf numFmtId="0" fontId="3" fillId="11" borderId="0" applyNumberFormat="0" applyBorder="0" applyAlignment="0" applyProtection="0"/>
    <xf numFmtId="0" fontId="1" fillId="0" borderId="0"/>
    <xf numFmtId="9" fontId="1" fillId="0" borderId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ill="0" applyBorder="0" applyAlignment="0" applyProtection="0"/>
    <xf numFmtId="0" fontId="3" fillId="8" borderId="0" applyNumberFormat="0" applyBorder="0" applyAlignment="0" applyProtection="0"/>
    <xf numFmtId="0" fontId="29" fillId="0" borderId="0"/>
    <xf numFmtId="9" fontId="1" fillId="0" borderId="0" applyFill="0" applyBorder="0" applyAlignment="0" applyProtection="0"/>
    <xf numFmtId="0" fontId="3" fillId="5" borderId="0" applyNumberFormat="0" applyBorder="0" applyAlignment="0" applyProtection="0"/>
    <xf numFmtId="0" fontId="1" fillId="0" borderId="0"/>
    <xf numFmtId="0" fontId="1" fillId="0" borderId="0"/>
    <xf numFmtId="0" fontId="20" fillId="0" borderId="0">
      <alignment vertical="top" wrapText="1"/>
    </xf>
    <xf numFmtId="9" fontId="1" fillId="0" borderId="0" applyFill="0" applyBorder="0" applyAlignment="0" applyProtection="0"/>
    <xf numFmtId="0" fontId="3" fillId="9" borderId="0" applyNumberFormat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3" fillId="8" borderId="0" applyNumberFormat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3" fillId="7" borderId="0" applyNumberFormat="0" applyBorder="0" applyAlignment="0" applyProtection="0"/>
    <xf numFmtId="9" fontId="1" fillId="0" borderId="0" applyFill="0" applyBorder="0" applyAlignment="0" applyProtection="0"/>
    <xf numFmtId="0" fontId="4" fillId="13" borderId="0" applyNumberFormat="0" applyBorder="0" applyAlignment="0" applyProtection="0"/>
    <xf numFmtId="0" fontId="3" fillId="6" borderId="0" applyNumberFormat="0" applyBorder="0" applyAlignment="0" applyProtection="0"/>
    <xf numFmtId="0" fontId="1" fillId="0" borderId="0"/>
    <xf numFmtId="0" fontId="29" fillId="0" borderId="0"/>
    <xf numFmtId="0" fontId="3" fillId="5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ill="0" applyBorder="0" applyAlignment="0" applyProtection="0"/>
    <xf numFmtId="0" fontId="1" fillId="0" borderId="0"/>
    <xf numFmtId="0" fontId="3" fillId="4" borderId="0" applyNumberFormat="0" applyBorder="0" applyAlignment="0" applyProtection="0"/>
    <xf numFmtId="0" fontId="10" fillId="0" borderId="4" applyNumberFormat="0" applyFill="0" applyAlignment="0" applyProtection="0"/>
    <xf numFmtId="0" fontId="1" fillId="23" borderId="7" applyNumberFormat="0" applyFont="0" applyAlignment="0" applyProtection="0"/>
    <xf numFmtId="9" fontId="1" fillId="0" borderId="0" applyFill="0" applyBorder="0" applyAlignment="0" applyProtection="0"/>
    <xf numFmtId="0" fontId="1" fillId="0" borderId="0"/>
    <xf numFmtId="0" fontId="3" fillId="3" borderId="0" applyNumberFormat="0" applyBorder="0" applyAlignment="0" applyProtection="0"/>
    <xf numFmtId="0" fontId="3" fillId="58" borderId="0" applyNumberFormat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ill="0" applyBorder="0" applyAlignment="0" applyProtection="0"/>
    <xf numFmtId="0" fontId="29" fillId="0" borderId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9" fontId="1" fillId="0" borderId="0" applyFill="0" applyBorder="0" applyAlignment="0" applyProtection="0"/>
    <xf numFmtId="164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171" fontId="1" fillId="0" borderId="0" applyFont="0" applyFill="0" applyBorder="0" applyAlignment="0" applyProtection="0"/>
    <xf numFmtId="0" fontId="56" fillId="0" borderId="0" applyNumberFormat="0" applyFill="0" applyBorder="0" applyProtection="0">
      <alignment vertical="top" wrapText="1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57" borderId="0" applyNumberFormat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ill="0" applyBorder="0" applyAlignment="0" applyProtection="0"/>
    <xf numFmtId="0" fontId="5" fillId="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170" fontId="1" fillId="0" borderId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ill="0" applyBorder="0" applyAlignment="0" applyProtection="0"/>
    <xf numFmtId="164" fontId="1" fillId="0" borderId="0" applyFont="0" applyFill="0" applyBorder="0" applyAlignment="0" applyProtection="0"/>
    <xf numFmtId="0" fontId="13" fillId="7" borderId="1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ill="0" applyBorder="0" applyAlignment="0" applyProtection="0"/>
    <xf numFmtId="0" fontId="4" fillId="19" borderId="0" applyNumberFormat="0" applyBorder="0" applyAlignment="0" applyProtection="0"/>
    <xf numFmtId="0" fontId="56" fillId="0" borderId="0">
      <alignment vertical="top" wrapText="1"/>
    </xf>
    <xf numFmtId="0" fontId="4" fillId="70" borderId="0" applyNumberFormat="0" applyBorder="0" applyAlignment="0" applyProtection="0"/>
    <xf numFmtId="0" fontId="4" fillId="69" borderId="0" applyNumberFormat="0" applyBorder="0" applyAlignment="0" applyProtection="0"/>
    <xf numFmtId="0" fontId="10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7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>
      <alignment vertical="top" wrapText="1"/>
    </xf>
    <xf numFmtId="0" fontId="4" fillId="13" borderId="0" applyNumberFormat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8" borderId="0" applyNumberFormat="0" applyBorder="0" applyAlignment="0" applyProtection="0"/>
    <xf numFmtId="9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ill="0" applyBorder="0" applyAlignment="0" applyProtection="0"/>
    <xf numFmtId="0" fontId="29" fillId="0" borderId="0"/>
    <xf numFmtId="173" fontId="1" fillId="0" borderId="0" applyBorder="0" applyAlignment="0" applyProtection="0"/>
    <xf numFmtId="9" fontId="1" fillId="0" borderId="0" applyFont="0" applyFill="0" applyBorder="0" applyAlignment="0" applyProtection="0"/>
    <xf numFmtId="9" fontId="58" fillId="0" borderId="0"/>
    <xf numFmtId="171" fontId="58" fillId="0" borderId="0"/>
    <xf numFmtId="0" fontId="1" fillId="0" borderId="0" applyNumberFormat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3" fillId="5" borderId="0" applyNumberFormat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0" fontId="29" fillId="0" borderId="0"/>
    <xf numFmtId="0" fontId="4" fillId="16" borderId="0" applyNumberFormat="0" applyBorder="0" applyAlignment="0" applyProtection="0"/>
    <xf numFmtId="0" fontId="1" fillId="0" borderId="0"/>
    <xf numFmtId="0" fontId="1" fillId="0" borderId="0"/>
    <xf numFmtId="0" fontId="56" fillId="0" borderId="0">
      <alignment vertical="top" wrapText="1"/>
    </xf>
    <xf numFmtId="171" fontId="1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164" fontId="1" fillId="0" borderId="0" applyFont="0" applyFill="0" applyBorder="0" applyAlignment="0" applyProtection="0"/>
    <xf numFmtId="0" fontId="16" fillId="20" borderId="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20" borderId="8" applyNumberFormat="0" applyAlignment="0" applyProtection="0"/>
    <xf numFmtId="171" fontId="1" fillId="0" borderId="0" applyFont="0" applyFill="0" applyBorder="0" applyAlignment="0" applyProtection="0"/>
    <xf numFmtId="0" fontId="29" fillId="0" borderId="0"/>
    <xf numFmtId="0" fontId="3" fillId="9" borderId="0" applyNumberFormat="0" applyBorder="0" applyAlignment="0" applyProtection="0"/>
    <xf numFmtId="0" fontId="4" fillId="15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0" borderId="8" applyNumberFormat="0" applyAlignment="0" applyProtection="0"/>
    <xf numFmtId="0" fontId="3" fillId="5" borderId="0" applyNumberFormat="0" applyBorder="0" applyAlignment="0" applyProtection="0"/>
    <xf numFmtId="164" fontId="1" fillId="0" borderId="0" applyFont="0" applyFill="0" applyBorder="0" applyAlignment="0" applyProtection="0"/>
    <xf numFmtId="173" fontId="1" fillId="0" borderId="0" applyBorder="0" applyAlignment="0" applyProtection="0"/>
    <xf numFmtId="0" fontId="1" fillId="0" borderId="0" applyNumberFormat="0" applyFont="0" applyFill="0" applyBorder="0" applyAlignment="0" applyProtection="0"/>
    <xf numFmtId="0" fontId="20" fillId="0" borderId="0">
      <alignment vertical="top" wrapText="1"/>
    </xf>
    <xf numFmtId="0" fontId="29" fillId="0" borderId="0"/>
    <xf numFmtId="0" fontId="56" fillId="0" borderId="0" applyNumberFormat="0" applyFill="0" applyBorder="0" applyProtection="0">
      <alignment vertical="top" wrapText="1"/>
    </xf>
    <xf numFmtId="0" fontId="56" fillId="0" borderId="0">
      <alignment vertical="top" wrapText="1"/>
    </xf>
    <xf numFmtId="0" fontId="1" fillId="0" borderId="0"/>
    <xf numFmtId="0" fontId="3" fillId="11" borderId="0" applyNumberFormat="0" applyBorder="0" applyAlignment="0" applyProtection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1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29" fillId="0" borderId="0"/>
    <xf numFmtId="0" fontId="4" fillId="12" borderId="0" applyNumberFormat="0" applyBorder="0" applyAlignment="0" applyProtection="0"/>
    <xf numFmtId="0" fontId="1" fillId="0" borderId="0"/>
    <xf numFmtId="0" fontId="4" fillId="1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" fillId="6" borderId="0" applyNumberFormat="0" applyBorder="0" applyAlignment="0" applyProtection="0"/>
    <xf numFmtId="171" fontId="58" fillId="0" borderId="0"/>
    <xf numFmtId="9" fontId="58" fillId="0" borderId="0"/>
    <xf numFmtId="171" fontId="58" fillId="0" borderId="0"/>
    <xf numFmtId="0" fontId="29" fillId="0" borderId="0"/>
    <xf numFmtId="173" fontId="1" fillId="0" borderId="0" applyBorder="0" applyAlignment="0" applyProtection="0"/>
    <xf numFmtId="0" fontId="1" fillId="0" borderId="0"/>
    <xf numFmtId="0" fontId="29" fillId="0" borderId="0"/>
    <xf numFmtId="9" fontId="58" fillId="0" borderId="0"/>
    <xf numFmtId="43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Protection="0">
      <alignment vertical="top" wrapText="1"/>
    </xf>
    <xf numFmtId="0" fontId="60" fillId="0" borderId="0"/>
    <xf numFmtId="9" fontId="1" fillId="0" borderId="0" applyFill="0" applyBorder="0" applyAlignment="0" applyProtection="0"/>
    <xf numFmtId="174" fontId="1" fillId="0" borderId="0" applyFill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0" borderId="0" applyNumberFormat="0" applyBorder="0" applyAlignment="0" applyProtection="0"/>
    <xf numFmtId="0" fontId="3" fillId="63" borderId="0" applyNumberFormat="0" applyBorder="0" applyAlignment="0" applyProtection="0"/>
    <xf numFmtId="0" fontId="3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74" borderId="0" applyNumberFormat="0" applyBorder="0" applyAlignment="0" applyProtection="0"/>
    <xf numFmtId="0" fontId="5" fillId="58" borderId="0" applyNumberFormat="0" applyBorder="0" applyAlignment="0" applyProtection="0"/>
    <xf numFmtId="0" fontId="6" fillId="47" borderId="1" applyNumberFormat="0" applyAlignment="0" applyProtection="0"/>
    <xf numFmtId="0" fontId="7" fillId="75" borderId="2" applyNumberFormat="0" applyAlignment="0" applyProtection="0"/>
    <xf numFmtId="0" fontId="4" fillId="17" borderId="0" applyNumberFormat="0" applyBorder="0" applyAlignment="0" applyProtection="0"/>
    <xf numFmtId="9" fontId="1" fillId="0" borderId="0" applyFont="0" applyFill="0" applyBorder="0" applyAlignment="0" applyProtection="0"/>
    <xf numFmtId="0" fontId="9" fillId="59" borderId="0" applyNumberFormat="0" applyBorder="0" applyAlignment="0" applyProtection="0"/>
    <xf numFmtId="9" fontId="1" fillId="0" borderId="0" applyFill="0" applyBorder="0" applyAlignment="0" applyProtection="0"/>
    <xf numFmtId="0" fontId="29" fillId="0" borderId="0"/>
    <xf numFmtId="0" fontId="13" fillId="62" borderId="1" applyNumberFormat="0" applyAlignment="0" applyProtection="0"/>
    <xf numFmtId="0" fontId="1" fillId="0" borderId="0"/>
    <xf numFmtId="0" fontId="15" fillId="56" borderId="0" applyNumberFormat="0" applyBorder="0" applyAlignment="0" applyProtection="0"/>
    <xf numFmtId="0" fontId="1" fillId="0" borderId="0"/>
    <xf numFmtId="0" fontId="1" fillId="76" borderId="7" applyNumberFormat="0" applyAlignment="0" applyProtection="0"/>
    <xf numFmtId="0" fontId="16" fillId="47" borderId="8" applyNumberFormat="0" applyAlignment="0" applyProtection="0"/>
    <xf numFmtId="9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ill="0" applyBorder="0" applyAlignment="0" applyProtection="0"/>
    <xf numFmtId="0" fontId="1" fillId="0" borderId="0"/>
    <xf numFmtId="0" fontId="7" fillId="21" borderId="2" applyNumberFormat="0" applyAlignment="0" applyProtection="0"/>
    <xf numFmtId="9" fontId="1" fillId="0" borderId="0" applyFill="0" applyBorder="0" applyAlignment="0" applyProtection="0"/>
    <xf numFmtId="0" fontId="60" fillId="0" borderId="0"/>
    <xf numFmtId="9" fontId="1" fillId="0" borderId="0" applyFill="0" applyBorder="0" applyAlignment="0" applyProtection="0"/>
    <xf numFmtId="174" fontId="1" fillId="0" borderId="0" applyFill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0" borderId="0" applyNumberFormat="0" applyBorder="0" applyAlignment="0" applyProtection="0"/>
    <xf numFmtId="0" fontId="3" fillId="63" borderId="0" applyNumberFormat="0" applyBorder="0" applyAlignment="0" applyProtection="0"/>
    <xf numFmtId="0" fontId="3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74" borderId="0" applyNumberFormat="0" applyBorder="0" applyAlignment="0" applyProtection="0"/>
    <xf numFmtId="0" fontId="5" fillId="58" borderId="0" applyNumberFormat="0" applyBorder="0" applyAlignment="0" applyProtection="0"/>
    <xf numFmtId="0" fontId="6" fillId="47" borderId="1" applyNumberFormat="0" applyAlignment="0" applyProtection="0"/>
    <xf numFmtId="0" fontId="7" fillId="75" borderId="2" applyNumberFormat="0" applyAlignment="0" applyProtection="0"/>
    <xf numFmtId="0" fontId="5" fillId="3" borderId="0" applyNumberFormat="0" applyBorder="0" applyAlignment="0" applyProtection="0"/>
    <xf numFmtId="0" fontId="4" fillId="19" borderId="0" applyNumberFormat="0" applyBorder="0" applyAlignment="0" applyProtection="0"/>
    <xf numFmtId="0" fontId="9" fillId="59" borderId="0" applyNumberFormat="0" applyBorder="0" applyAlignment="0" applyProtection="0"/>
    <xf numFmtId="0" fontId="4" fillId="14" borderId="0" applyNumberFormat="0" applyBorder="0" applyAlignment="0" applyProtection="0"/>
    <xf numFmtId="0" fontId="6" fillId="20" borderId="1" applyNumberFormat="0" applyAlignment="0" applyProtection="0"/>
    <xf numFmtId="0" fontId="4" fillId="14" borderId="0" applyNumberFormat="0" applyBorder="0" applyAlignment="0" applyProtection="0"/>
    <xf numFmtId="0" fontId="13" fillId="62" borderId="1" applyNumberFormat="0" applyAlignment="0" applyProtection="0"/>
    <xf numFmtId="0" fontId="15" fillId="56" borderId="0" applyNumberFormat="0" applyBorder="0" applyAlignment="0" applyProtection="0"/>
    <xf numFmtId="164" fontId="1" fillId="0" borderId="0" applyFont="0" applyFill="0" applyBorder="0" applyAlignment="0" applyProtection="0"/>
    <xf numFmtId="0" fontId="1" fillId="76" borderId="7" applyNumberFormat="0" applyAlignment="0" applyProtection="0"/>
    <xf numFmtId="0" fontId="16" fillId="47" borderId="8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" fillId="0" borderId="0"/>
    <xf numFmtId="0" fontId="9" fillId="4" borderId="0" applyNumberFormat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ill="0" applyBorder="0" applyAlignment="0" applyProtection="0"/>
    <xf numFmtId="0" fontId="3" fillId="2" borderId="0" applyNumberFormat="0" applyBorder="0" applyAlignment="0" applyProtection="0"/>
    <xf numFmtId="0" fontId="60" fillId="0" borderId="0"/>
    <xf numFmtId="9" fontId="1" fillId="0" borderId="0" applyFill="0" applyBorder="0" applyAlignment="0" applyProtection="0"/>
    <xf numFmtId="174" fontId="1" fillId="0" borderId="0" applyFill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0" borderId="0" applyNumberFormat="0" applyBorder="0" applyAlignment="0" applyProtection="0"/>
    <xf numFmtId="0" fontId="3" fillId="63" borderId="0" applyNumberFormat="0" applyBorder="0" applyAlignment="0" applyProtection="0"/>
    <xf numFmtId="0" fontId="3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74" borderId="0" applyNumberFormat="0" applyBorder="0" applyAlignment="0" applyProtection="0"/>
    <xf numFmtId="0" fontId="5" fillId="58" borderId="0" applyNumberFormat="0" applyBorder="0" applyAlignment="0" applyProtection="0"/>
    <xf numFmtId="0" fontId="6" fillId="47" borderId="1" applyNumberFormat="0" applyAlignment="0" applyProtection="0"/>
    <xf numFmtId="0" fontId="7" fillId="75" borderId="2" applyNumberFormat="0" applyAlignment="0" applyProtection="0"/>
    <xf numFmtId="0" fontId="1" fillId="0" borderId="0"/>
    <xf numFmtId="0" fontId="9" fillId="59" borderId="0" applyNumberFormat="0" applyBorder="0" applyAlignment="0" applyProtection="0"/>
    <xf numFmtId="9" fontId="1" fillId="0" borderId="0" applyFill="0" applyBorder="0" applyAlignment="0" applyProtection="0"/>
    <xf numFmtId="0" fontId="13" fillId="62" borderId="1" applyNumberFormat="0" applyAlignment="0" applyProtection="0"/>
    <xf numFmtId="9" fontId="1" fillId="0" borderId="0" applyFill="0" applyBorder="0" applyAlignment="0" applyProtection="0"/>
    <xf numFmtId="0" fontId="15" fillId="56" borderId="0" applyNumberFormat="0" applyBorder="0" applyAlignment="0" applyProtection="0"/>
    <xf numFmtId="0" fontId="3" fillId="0" borderId="0"/>
    <xf numFmtId="0" fontId="1" fillId="76" borderId="7" applyNumberFormat="0" applyAlignment="0" applyProtection="0"/>
    <xf numFmtId="0" fontId="16" fillId="47" borderId="8" applyNumberFormat="0" applyAlignment="0" applyProtection="0"/>
    <xf numFmtId="0" fontId="29" fillId="0" borderId="0"/>
    <xf numFmtId="0" fontId="1" fillId="0" borderId="0"/>
    <xf numFmtId="0" fontId="1" fillId="0" borderId="0"/>
    <xf numFmtId="0" fontId="29" fillId="0" borderId="0"/>
    <xf numFmtId="17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3" fillId="5" borderId="0" applyNumberFormat="0" applyBorder="0" applyAlignment="0" applyProtection="0"/>
    <xf numFmtId="0" fontId="9" fillId="4" borderId="0" applyNumberFormat="0" applyBorder="0" applyAlignment="0" applyProtection="0"/>
    <xf numFmtId="0" fontId="3" fillId="9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4" fillId="16" borderId="0" applyNumberFormat="0" applyBorder="0" applyAlignment="0" applyProtection="0"/>
    <xf numFmtId="9" fontId="1" fillId="0" borderId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6" fillId="24" borderId="8" applyNumberFormat="0" applyAlignment="0" applyProtection="0"/>
    <xf numFmtId="0" fontId="16" fillId="20" borderId="8" applyNumberFormat="0" applyAlignment="0" applyProtection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6" fillId="47" borderId="8" applyNumberFormat="0" applyAlignment="0" applyProtection="0"/>
    <xf numFmtId="0" fontId="16" fillId="24" borderId="8" applyNumberFormat="0" applyAlignment="0" applyProtection="0"/>
    <xf numFmtId="43" fontId="3" fillId="0" borderId="0" applyFont="0" applyFill="0" applyBorder="0" applyAlignment="0" applyProtection="0"/>
    <xf numFmtId="0" fontId="6" fillId="20" borderId="1" applyNumberFormat="0" applyAlignment="0" applyProtection="0"/>
    <xf numFmtId="0" fontId="3" fillId="5" borderId="0" applyNumberFormat="0" applyBorder="0" applyAlignment="0" applyProtection="0"/>
    <xf numFmtId="0" fontId="1" fillId="0" borderId="0"/>
    <xf numFmtId="0" fontId="1" fillId="0" borderId="0"/>
    <xf numFmtId="0" fontId="3" fillId="23" borderId="7" applyNumberFormat="0" applyFont="0" applyAlignment="0" applyProtection="0"/>
    <xf numFmtId="0" fontId="3" fillId="61" borderId="0" applyNumberFormat="0" applyBorder="0" applyAlignment="0" applyProtection="0"/>
    <xf numFmtId="0" fontId="6" fillId="47" borderId="1" applyNumberFormat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3" fillId="59" borderId="0" applyNumberFormat="0" applyBorder="0" applyAlignment="0" applyProtection="0"/>
    <xf numFmtId="0" fontId="1" fillId="0" borderId="0"/>
    <xf numFmtId="0" fontId="3" fillId="5" borderId="0" applyNumberFormat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20" fillId="0" borderId="0">
      <alignment vertical="top" wrapText="1"/>
    </xf>
    <xf numFmtId="0" fontId="3" fillId="4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6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4" borderId="0" applyNumberFormat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ill="0" applyBorder="0" applyAlignment="0" applyProtection="0"/>
    <xf numFmtId="0" fontId="1" fillId="0" borderId="0"/>
    <xf numFmtId="9" fontId="1" fillId="0" borderId="0" applyFill="0" applyBorder="0" applyAlignment="0" applyProtection="0"/>
    <xf numFmtId="0" fontId="1" fillId="0" borderId="0"/>
    <xf numFmtId="9" fontId="29" fillId="0" borderId="0" applyFont="0" applyFill="0" applyBorder="0" applyAlignment="0" applyProtection="0"/>
    <xf numFmtId="9" fontId="1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0" borderId="0"/>
    <xf numFmtId="9" fontId="1" fillId="0" borderId="0" applyFill="0" applyBorder="0" applyAlignment="0" applyProtection="0"/>
    <xf numFmtId="0" fontId="2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0" borderId="0"/>
    <xf numFmtId="0" fontId="1" fillId="0" borderId="0"/>
    <xf numFmtId="9" fontId="1" fillId="0" borderId="0" applyFill="0" applyBorder="0" applyAlignment="0" applyProtection="0"/>
    <xf numFmtId="0" fontId="1" fillId="0" borderId="0"/>
    <xf numFmtId="9" fontId="58" fillId="0" borderId="0"/>
    <xf numFmtId="0" fontId="1" fillId="0" borderId="0"/>
    <xf numFmtId="171" fontId="58" fillId="0" borderId="0"/>
    <xf numFmtId="9" fontId="1" fillId="0" borderId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9" fontId="1" fillId="0" borderId="0" applyFill="0" applyBorder="0" applyAlignment="0" applyProtection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1" fillId="0" borderId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5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6" fillId="47" borderId="8" applyNumberFormat="0" applyAlignment="0" applyProtection="0"/>
    <xf numFmtId="0" fontId="1" fillId="76" borderId="7" applyNumberFormat="0" applyAlignment="0" applyProtection="0"/>
    <xf numFmtId="0" fontId="15" fillId="56" borderId="0" applyNumberFormat="0" applyBorder="0" applyAlignment="0" applyProtection="0"/>
    <xf numFmtId="0" fontId="13" fillId="62" borderId="1" applyNumberFormat="0" applyAlignment="0" applyProtection="0"/>
    <xf numFmtId="0" fontId="1" fillId="0" borderId="0" applyNumberFormat="0" applyFont="0" applyFill="0" applyBorder="0" applyAlignment="0" applyProtection="0"/>
    <xf numFmtId="0" fontId="9" fillId="59" borderId="0" applyNumberFormat="0" applyBorder="0" applyAlignment="0" applyProtection="0"/>
    <xf numFmtId="0" fontId="13" fillId="62" borderId="1" applyNumberFormat="0" applyAlignment="0" applyProtection="0"/>
    <xf numFmtId="0" fontId="7" fillId="75" borderId="2" applyNumberFormat="0" applyAlignment="0" applyProtection="0"/>
    <xf numFmtId="0" fontId="6" fillId="47" borderId="1" applyNumberFormat="0" applyAlignment="0" applyProtection="0"/>
    <xf numFmtId="0" fontId="5" fillId="58" borderId="0" applyNumberFormat="0" applyBorder="0" applyAlignment="0" applyProtection="0"/>
    <xf numFmtId="0" fontId="4" fillId="74" borderId="0" applyNumberFormat="0" applyBorder="0" applyAlignment="0" applyProtection="0"/>
    <xf numFmtId="0" fontId="4" fillId="69" borderId="0" applyNumberFormat="0" applyBorder="0" applyAlignment="0" applyProtection="0"/>
    <xf numFmtId="0" fontId="4" fillId="68" borderId="0" applyNumberFormat="0" applyBorder="0" applyAlignment="0" applyProtection="0"/>
    <xf numFmtId="0" fontId="4" fillId="73" borderId="0" applyNumberFormat="0" applyBorder="0" applyAlignment="0" applyProtection="0"/>
    <xf numFmtId="0" fontId="4" fillId="72" borderId="0" applyNumberFormat="0" applyBorder="0" applyAlignment="0" applyProtection="0"/>
    <xf numFmtId="0" fontId="4" fillId="71" borderId="0" applyNumberFormat="0" applyBorder="0" applyAlignment="0" applyProtection="0"/>
    <xf numFmtId="0" fontId="4" fillId="68" borderId="0" applyNumberFormat="0" applyBorder="0" applyAlignment="0" applyProtection="0"/>
    <xf numFmtId="0" fontId="4" fillId="65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3" fillId="66" borderId="0" applyNumberFormat="0" applyBorder="0" applyAlignment="0" applyProtection="0"/>
    <xf numFmtId="0" fontId="3" fillId="63" borderId="0" applyNumberFormat="0" applyBorder="0" applyAlignment="0" applyProtection="0"/>
    <xf numFmtId="0" fontId="3" fillId="60" borderId="0" applyNumberFormat="0" applyBorder="0" applyAlignment="0" applyProtection="0"/>
    <xf numFmtId="0" fontId="3" fillId="65" borderId="0" applyNumberFormat="0" applyBorder="0" applyAlignment="0" applyProtection="0"/>
    <xf numFmtId="0" fontId="3" fillId="64" borderId="0" applyNumberFormat="0" applyBorder="0" applyAlignment="0" applyProtection="0"/>
    <xf numFmtId="0" fontId="3" fillId="63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43" fontId="1" fillId="0" borderId="0" applyFont="0" applyFill="0" applyBorder="0" applyAlignment="0" applyProtection="0"/>
    <xf numFmtId="0" fontId="4" fillId="19" borderId="0" applyNumberFormat="0" applyBorder="0" applyAlignment="0" applyProtection="0"/>
    <xf numFmtId="0" fontId="29" fillId="0" borderId="0"/>
    <xf numFmtId="9" fontId="1" fillId="0" borderId="0" applyFill="0" applyBorder="0" applyAlignment="0" applyProtection="0"/>
    <xf numFmtId="0" fontId="29" fillId="0" borderId="0"/>
    <xf numFmtId="164" fontId="1" fillId="0" borderId="0" applyFont="0" applyFill="0" applyBorder="0" applyAlignment="0" applyProtection="0"/>
    <xf numFmtId="0" fontId="9" fillId="59" borderId="0" applyNumberFormat="0" applyBorder="0" applyAlignment="0" applyProtection="0"/>
    <xf numFmtId="9" fontId="1" fillId="0" borderId="0" applyFill="0" applyBorder="0" applyAlignment="0" applyProtection="0"/>
    <xf numFmtId="0" fontId="1" fillId="0" borderId="0"/>
    <xf numFmtId="0" fontId="3" fillId="60" borderId="0" applyNumberFormat="0" applyBorder="0" applyAlignment="0" applyProtection="0"/>
    <xf numFmtId="0" fontId="1" fillId="0" borderId="0"/>
    <xf numFmtId="0" fontId="3" fillId="7" borderId="0" applyNumberFormat="0" applyBorder="0" applyAlignment="0" applyProtection="0"/>
    <xf numFmtId="0" fontId="4" fillId="68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16" fillId="20" borderId="8" applyNumberFormat="0" applyAlignment="0" applyProtection="0"/>
    <xf numFmtId="9" fontId="1" fillId="0" borderId="0" applyFill="0" applyBorder="0" applyAlignment="0" applyProtection="0"/>
    <xf numFmtId="0" fontId="1" fillId="0" borderId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1" borderId="0" applyNumberFormat="0" applyBorder="0" applyAlignment="0" applyProtection="0"/>
    <xf numFmtId="0" fontId="4" fillId="64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4" fillId="67" borderId="0" applyNumberFormat="0" applyBorder="0" applyAlignment="0" applyProtection="0"/>
    <xf numFmtId="0" fontId="4" fillId="6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73" fontId="1" fillId="0" borderId="0" applyBorder="0" applyAlignment="0" applyProtection="0"/>
    <xf numFmtId="0" fontId="1" fillId="0" borderId="0"/>
    <xf numFmtId="0" fontId="3" fillId="5" borderId="0" applyNumberFormat="0" applyBorder="0" applyAlignment="0" applyProtection="0"/>
    <xf numFmtId="0" fontId="3" fillId="62" borderId="0" applyNumberFormat="0" applyBorder="0" applyAlignment="0" applyProtection="0"/>
    <xf numFmtId="0" fontId="4" fillId="70" borderId="0" applyNumberFormat="0" applyBorder="0" applyAlignment="0" applyProtection="0"/>
    <xf numFmtId="0" fontId="20" fillId="0" borderId="0">
      <alignment vertical="top" wrapText="1"/>
    </xf>
    <xf numFmtId="0" fontId="7" fillId="21" borderId="2" applyNumberFormat="0" applyAlignment="0" applyProtection="0"/>
    <xf numFmtId="0" fontId="3" fillId="65" borderId="0" applyNumberFormat="0" applyBorder="0" applyAlignment="0" applyProtection="0"/>
    <xf numFmtId="0" fontId="4" fillId="71" borderId="0" applyNumberFormat="0" applyBorder="0" applyAlignment="0" applyProtection="0"/>
    <xf numFmtId="0" fontId="4" fillId="17" borderId="0" applyNumberFormat="0" applyBorder="0" applyAlignment="0" applyProtection="0"/>
    <xf numFmtId="0" fontId="3" fillId="63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64" borderId="0" applyNumberFormat="0" applyBorder="0" applyAlignment="0" applyProtection="0"/>
    <xf numFmtId="0" fontId="1" fillId="0" borderId="0"/>
    <xf numFmtId="0" fontId="5" fillId="58" borderId="0" applyNumberFormat="0" applyBorder="0" applyAlignment="0" applyProtection="0"/>
    <xf numFmtId="0" fontId="13" fillId="7" borderId="1" applyNumberFormat="0" applyAlignment="0" applyProtection="0"/>
    <xf numFmtId="0" fontId="3" fillId="3" borderId="0" applyNumberFormat="0" applyBorder="0" applyAlignment="0" applyProtection="0"/>
    <xf numFmtId="0" fontId="1" fillId="0" borderId="0"/>
    <xf numFmtId="171" fontId="58" fillId="0" borderId="0"/>
    <xf numFmtId="0" fontId="1" fillId="0" borderId="0"/>
    <xf numFmtId="0" fontId="16" fillId="20" borderId="8" applyNumberFormat="0" applyAlignment="0" applyProtection="0"/>
    <xf numFmtId="0" fontId="3" fillId="64" borderId="0" applyNumberFormat="0" applyBorder="0" applyAlignment="0" applyProtection="0"/>
    <xf numFmtId="0" fontId="3" fillId="62" borderId="0" applyNumberFormat="0" applyBorder="0" applyAlignment="0" applyProtection="0"/>
    <xf numFmtId="0" fontId="56" fillId="0" borderId="0" applyNumberFormat="0" applyFill="0" applyBorder="0" applyProtection="0">
      <alignment vertical="top" wrapText="1"/>
    </xf>
    <xf numFmtId="9" fontId="3" fillId="0" borderId="0" applyFont="0" applyFill="0" applyBorder="0" applyAlignment="0" applyProtection="0"/>
    <xf numFmtId="0" fontId="56" fillId="0" borderId="0">
      <alignment vertical="top" wrapText="1"/>
    </xf>
    <xf numFmtId="0" fontId="1" fillId="0" borderId="0"/>
    <xf numFmtId="44" fontId="1" fillId="0" borderId="0" applyFont="0" applyFill="0" applyBorder="0" applyAlignment="0" applyProtection="0"/>
    <xf numFmtId="0" fontId="16" fillId="20" borderId="8" applyNumberFormat="0" applyAlignment="0" applyProtection="0"/>
    <xf numFmtId="0" fontId="3" fillId="0" borderId="0"/>
    <xf numFmtId="0" fontId="1" fillId="76" borderId="7" applyNumberFormat="0" applyAlignment="0" applyProtection="0"/>
    <xf numFmtId="43" fontId="3" fillId="0" borderId="0" applyFont="0" applyFill="0" applyBorder="0" applyAlignment="0" applyProtection="0"/>
    <xf numFmtId="0" fontId="4" fillId="69" borderId="0" applyNumberFormat="0" applyBorder="0" applyAlignment="0" applyProtection="0"/>
    <xf numFmtId="0" fontId="13" fillId="62" borderId="1" applyNumberFormat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23" borderId="7" applyNumberFormat="0" applyFont="0" applyAlignment="0" applyProtection="0"/>
    <xf numFmtId="0" fontId="4" fillId="68" borderId="0" applyNumberFormat="0" applyBorder="0" applyAlignment="0" applyProtection="0"/>
    <xf numFmtId="0" fontId="29" fillId="0" borderId="0"/>
    <xf numFmtId="0" fontId="3" fillId="59" borderId="0" applyNumberFormat="0" applyBorder="0" applyAlignment="0" applyProtection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1" fillId="0" borderId="0"/>
    <xf numFmtId="0" fontId="3" fillId="0" borderId="0"/>
    <xf numFmtId="9" fontId="1" fillId="0" borderId="0" applyFill="0" applyBorder="0" applyAlignment="0" applyProtection="0"/>
    <xf numFmtId="0" fontId="29" fillId="0" borderId="0"/>
    <xf numFmtId="0" fontId="13" fillId="62" borderId="1" applyNumberFormat="0" applyAlignment="0" applyProtection="0"/>
    <xf numFmtId="0" fontId="3" fillId="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7" borderId="0" applyNumberFormat="0" applyBorder="0" applyAlignment="0" applyProtection="0"/>
    <xf numFmtId="0" fontId="1" fillId="0" borderId="0"/>
    <xf numFmtId="0" fontId="3" fillId="0" borderId="0"/>
    <xf numFmtId="0" fontId="29" fillId="0" borderId="0"/>
    <xf numFmtId="0" fontId="1" fillId="0" borderId="0"/>
    <xf numFmtId="0" fontId="1" fillId="0" borderId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63" borderId="0" applyNumberFormat="0" applyBorder="0" applyAlignment="0" applyProtection="0"/>
    <xf numFmtId="0" fontId="9" fillId="59" borderId="0" applyNumberFormat="0" applyBorder="0" applyAlignment="0" applyProtection="0"/>
    <xf numFmtId="0" fontId="1" fillId="0" borderId="0"/>
    <xf numFmtId="0" fontId="3" fillId="6" borderId="0" applyNumberFormat="0" applyBorder="0" applyAlignment="0" applyProtection="0"/>
    <xf numFmtId="0" fontId="3" fillId="58" borderId="0" applyNumberFormat="0" applyBorder="0" applyAlignment="0" applyProtection="0"/>
    <xf numFmtId="0" fontId="7" fillId="21" borderId="2" applyNumberFormat="0" applyAlignment="0" applyProtection="0"/>
    <xf numFmtId="0" fontId="1" fillId="0" borderId="0"/>
    <xf numFmtId="0" fontId="1" fillId="0" borderId="0"/>
    <xf numFmtId="0" fontId="1" fillId="23" borderId="7" applyNumberFormat="0" applyFont="0" applyAlignment="0" applyProtection="0"/>
    <xf numFmtId="9" fontId="1" fillId="0" borderId="0" applyFill="0" applyBorder="0" applyAlignment="0" applyProtection="0"/>
    <xf numFmtId="0" fontId="16" fillId="24" borderId="8" applyNumberFormat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57" borderId="0" applyNumberFormat="0" applyBorder="0" applyAlignment="0" applyProtection="0"/>
    <xf numFmtId="0" fontId="7" fillId="75" borderId="2" applyNumberFormat="0" applyAlignment="0" applyProtection="0"/>
    <xf numFmtId="0" fontId="1" fillId="0" borderId="0"/>
    <xf numFmtId="0" fontId="3" fillId="57" borderId="0" applyNumberFormat="0" applyBorder="0" applyAlignment="0" applyProtection="0"/>
    <xf numFmtId="174" fontId="1" fillId="0" borderId="0" applyFill="0" applyBorder="0" applyAlignment="0" applyProtection="0"/>
    <xf numFmtId="0" fontId="4" fillId="68" borderId="0" applyNumberFormat="0" applyBorder="0" applyAlignment="0" applyProtection="0"/>
    <xf numFmtId="0" fontId="1" fillId="0" borderId="0"/>
    <xf numFmtId="0" fontId="3" fillId="0" borderId="0"/>
    <xf numFmtId="0" fontId="3" fillId="64" borderId="0" applyNumberFormat="0" applyBorder="0" applyAlignment="0" applyProtection="0"/>
    <xf numFmtId="174" fontId="1" fillId="0" borderId="0" applyFill="0" applyBorder="0" applyAlignment="0" applyProtection="0"/>
    <xf numFmtId="0" fontId="4" fillId="13" borderId="0" applyNumberFormat="0" applyBorder="0" applyAlignment="0" applyProtection="0"/>
    <xf numFmtId="0" fontId="4" fillId="73" borderId="0" applyNumberFormat="0" applyBorder="0" applyAlignment="0" applyProtection="0"/>
    <xf numFmtId="0" fontId="4" fillId="72" borderId="0" applyNumberFormat="0" applyBorder="0" applyAlignment="0" applyProtection="0"/>
    <xf numFmtId="0" fontId="3" fillId="10" borderId="0" applyNumberFormat="0" applyBorder="0" applyAlignment="0" applyProtection="0"/>
    <xf numFmtId="170" fontId="1" fillId="0" borderId="0" applyFill="0" applyBorder="0" applyAlignment="0" applyProtection="0"/>
    <xf numFmtId="43" fontId="3" fillId="0" borderId="0" applyFont="0" applyFill="0" applyBorder="0" applyAlignment="0" applyProtection="0"/>
    <xf numFmtId="0" fontId="4" fillId="71" borderId="0" applyNumberFormat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4" fillId="70" borderId="0" applyNumberFormat="0" applyBorder="0" applyAlignment="0" applyProtection="0"/>
    <xf numFmtId="0" fontId="20" fillId="0" borderId="0">
      <alignment vertical="top" wrapText="1"/>
    </xf>
    <xf numFmtId="44" fontId="3" fillId="0" borderId="0" applyFont="0" applyFill="0" applyBorder="0" applyAlignment="0" applyProtection="0"/>
    <xf numFmtId="0" fontId="4" fillId="70" borderId="0" applyNumberFormat="0" applyBorder="0" applyAlignment="0" applyProtection="0"/>
    <xf numFmtId="0" fontId="4" fillId="6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1" fillId="0" borderId="0"/>
    <xf numFmtId="0" fontId="3" fillId="58" borderId="0" applyNumberFormat="0" applyBorder="0" applyAlignment="0" applyProtection="0"/>
    <xf numFmtId="9" fontId="1" fillId="0" borderId="0" applyFill="0" applyBorder="0" applyAlignment="0" applyProtection="0"/>
    <xf numFmtId="0" fontId="56" fillId="0" borderId="0">
      <alignment vertical="top" wrapText="1"/>
    </xf>
    <xf numFmtId="0" fontId="4" fillId="69" borderId="0" applyNumberFormat="0" applyBorder="0" applyAlignment="0" applyProtection="0"/>
    <xf numFmtId="9" fontId="1" fillId="0" borderId="0" applyFill="0" applyBorder="0" applyAlignment="0" applyProtection="0"/>
    <xf numFmtId="0" fontId="6" fillId="20" borderId="1" applyNumberFormat="0" applyAlignment="0" applyProtection="0"/>
    <xf numFmtId="9" fontId="1" fillId="0" borderId="0" applyFont="0" applyFill="0" applyBorder="0" applyAlignment="0" applyProtection="0"/>
    <xf numFmtId="0" fontId="60" fillId="0" borderId="0"/>
    <xf numFmtId="0" fontId="3" fillId="4" borderId="0" applyNumberFormat="0" applyBorder="0" applyAlignment="0" applyProtection="0"/>
    <xf numFmtId="0" fontId="4" fillId="68" borderId="0" applyNumberFormat="0" applyBorder="0" applyAlignment="0" applyProtection="0"/>
    <xf numFmtId="9" fontId="1" fillId="0" borderId="0" applyFill="0" applyBorder="0" applyAlignment="0" applyProtection="0"/>
    <xf numFmtId="0" fontId="16" fillId="20" borderId="8" applyNumberFormat="0" applyAlignment="0" applyProtection="0"/>
    <xf numFmtId="0" fontId="4" fillId="18" borderId="0" applyNumberFormat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4" fillId="65" borderId="0" applyNumberFormat="0" applyBorder="0" applyAlignment="0" applyProtection="0"/>
    <xf numFmtId="0" fontId="15" fillId="56" borderId="0" applyNumberFormat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0" fontId="4" fillId="74" borderId="0" applyNumberFormat="0" applyBorder="0" applyAlignment="0" applyProtection="0"/>
    <xf numFmtId="0" fontId="56" fillId="0" borderId="0" applyNumberFormat="0" applyFill="0" applyBorder="0" applyProtection="0">
      <alignment vertical="top" wrapText="1"/>
    </xf>
    <xf numFmtId="0" fontId="3" fillId="59" borderId="0" applyNumberFormat="0" applyBorder="0" applyAlignment="0" applyProtection="0"/>
    <xf numFmtId="164" fontId="1" fillId="0" borderId="0" applyFont="0" applyFill="0" applyBorder="0" applyAlignment="0" applyProtection="0"/>
    <xf numFmtId="0" fontId="3" fillId="5" borderId="0" applyNumberFormat="0" applyBorder="0" applyAlignment="0" applyProtection="0"/>
    <xf numFmtId="9" fontId="1" fillId="0" borderId="0" applyFill="0" applyBorder="0" applyAlignment="0" applyProtection="0"/>
    <xf numFmtId="0" fontId="15" fillId="22" borderId="0" applyNumberFormat="0" applyBorder="0" applyAlignment="0" applyProtection="0"/>
    <xf numFmtId="0" fontId="3" fillId="66" borderId="0" applyNumberFormat="0" applyBorder="0" applyAlignment="0" applyProtection="0"/>
    <xf numFmtId="0" fontId="9" fillId="59" borderId="0" applyNumberFormat="0" applyBorder="0" applyAlignment="0" applyProtection="0"/>
    <xf numFmtId="0" fontId="13" fillId="62" borderId="1" applyNumberFormat="0" applyAlignment="0" applyProtection="0"/>
    <xf numFmtId="0" fontId="15" fillId="56" borderId="0" applyNumberFormat="0" applyBorder="0" applyAlignment="0" applyProtection="0"/>
    <xf numFmtId="0" fontId="16" fillId="47" borderId="8" applyNumberFormat="0" applyAlignment="0" applyProtection="0"/>
    <xf numFmtId="0" fontId="4" fillId="19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0" borderId="0"/>
    <xf numFmtId="0" fontId="1" fillId="0" borderId="0"/>
    <xf numFmtId="9" fontId="1" fillId="0" borderId="0" applyFill="0" applyBorder="0" applyAlignment="0" applyProtection="0"/>
    <xf numFmtId="0" fontId="1" fillId="0" borderId="0"/>
    <xf numFmtId="9" fontId="1" fillId="0" borderId="0" applyFill="0" applyBorder="0" applyAlignment="0" applyProtection="0"/>
    <xf numFmtId="0" fontId="3" fillId="7" borderId="0" applyNumberFormat="0" applyBorder="0" applyAlignment="0" applyProtection="0"/>
    <xf numFmtId="0" fontId="13" fillId="7" borderId="1" applyNumberFormat="0" applyAlignment="0" applyProtection="0"/>
    <xf numFmtId="0" fontId="3" fillId="6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76" borderId="7" applyNumberFormat="0" applyAlignment="0" applyProtection="0"/>
    <xf numFmtId="0" fontId="9" fillId="4" borderId="0" applyNumberFormat="0" applyBorder="0" applyAlignment="0" applyProtection="0"/>
    <xf numFmtId="0" fontId="5" fillId="3" borderId="0" applyNumberFormat="0" applyBorder="0" applyAlignment="0" applyProtection="0"/>
    <xf numFmtId="0" fontId="3" fillId="5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4" fillId="67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/>
    <xf numFmtId="0" fontId="15" fillId="22" borderId="0" applyNumberFormat="0" applyBorder="0" applyAlignment="0" applyProtection="0"/>
    <xf numFmtId="0" fontId="4" fillId="14" borderId="0" applyNumberFormat="0" applyBorder="0" applyAlignment="0" applyProtection="0"/>
    <xf numFmtId="0" fontId="13" fillId="7" borderId="1" applyNumberFormat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73" borderId="0" applyNumberFormat="0" applyBorder="0" applyAlignment="0" applyProtection="0"/>
    <xf numFmtId="0" fontId="4" fillId="74" borderId="0" applyNumberFormat="0" applyBorder="0" applyAlignment="0" applyProtection="0"/>
    <xf numFmtId="0" fontId="1" fillId="0" borderId="0"/>
    <xf numFmtId="0" fontId="3" fillId="4" borderId="0" applyNumberFormat="0" applyBorder="0" applyAlignment="0" applyProtection="0"/>
    <xf numFmtId="0" fontId="29" fillId="0" borderId="0"/>
    <xf numFmtId="164" fontId="1" fillId="0" borderId="0" applyFont="0" applyFill="0" applyBorder="0" applyAlignment="0" applyProtection="0"/>
    <xf numFmtId="0" fontId="1" fillId="0" borderId="0"/>
    <xf numFmtId="0" fontId="9" fillId="4" borderId="0" applyNumberFormat="0" applyBorder="0" applyAlignment="0" applyProtection="0"/>
    <xf numFmtId="0" fontId="3" fillId="60" borderId="0" applyNumberFormat="0" applyBorder="0" applyAlignment="0" applyProtection="0"/>
    <xf numFmtId="0" fontId="7" fillId="21" borderId="2" applyNumberFormat="0" applyAlignment="0" applyProtection="0"/>
    <xf numFmtId="0" fontId="20" fillId="0" borderId="0">
      <alignment vertical="top" wrapText="1"/>
    </xf>
    <xf numFmtId="0" fontId="4" fillId="72" borderId="0" applyNumberFormat="0" applyBorder="0" applyAlignment="0" applyProtection="0"/>
    <xf numFmtId="0" fontId="5" fillId="3" borderId="0" applyNumberFormat="0" applyBorder="0" applyAlignment="0" applyProtection="0"/>
    <xf numFmtId="0" fontId="4" fillId="73" borderId="0" applyNumberFormat="0" applyBorder="0" applyAlignment="0" applyProtection="0"/>
    <xf numFmtId="0" fontId="4" fillId="64" borderId="0" applyNumberFormat="0" applyBorder="0" applyAlignment="0" applyProtection="0"/>
    <xf numFmtId="0" fontId="4" fillId="68" borderId="0" applyNumberFormat="0" applyBorder="0" applyAlignment="0" applyProtection="0"/>
    <xf numFmtId="0" fontId="4" fillId="73" borderId="0" applyNumberFormat="0" applyBorder="0" applyAlignment="0" applyProtection="0"/>
    <xf numFmtId="0" fontId="6" fillId="20" borderId="1" applyNumberFormat="0" applyAlignment="0" applyProtection="0"/>
    <xf numFmtId="0" fontId="4" fillId="68" borderId="0" applyNumberFormat="0" applyBorder="0" applyAlignment="0" applyProtection="0"/>
    <xf numFmtId="0" fontId="4" fillId="64" borderId="0" applyNumberFormat="0" applyBorder="0" applyAlignment="0" applyProtection="0"/>
    <xf numFmtId="0" fontId="5" fillId="3" borderId="0" applyNumberFormat="0" applyBorder="0" applyAlignment="0" applyProtection="0"/>
    <xf numFmtId="0" fontId="4" fillId="72" borderId="0" applyNumberFormat="0" applyBorder="0" applyAlignment="0" applyProtection="0"/>
    <xf numFmtId="0" fontId="15" fillId="22" borderId="0" applyNumberFormat="0" applyBorder="0" applyAlignment="0" applyProtection="0"/>
    <xf numFmtId="0" fontId="4" fillId="1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14" borderId="0" applyNumberFormat="0" applyBorder="0" applyAlignment="0" applyProtection="0"/>
    <xf numFmtId="0" fontId="4" fillId="74" borderId="0" applyNumberFormat="0" applyBorder="0" applyAlignment="0" applyProtection="0"/>
    <xf numFmtId="0" fontId="1" fillId="0" borderId="0"/>
    <xf numFmtId="0" fontId="4" fillId="1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18" borderId="0" applyNumberFormat="0" applyBorder="0" applyAlignment="0" applyProtection="0"/>
    <xf numFmtId="0" fontId="1" fillId="0" borderId="0"/>
    <xf numFmtId="0" fontId="3" fillId="62" borderId="0" applyNumberFormat="0" applyBorder="0" applyAlignment="0" applyProtection="0"/>
    <xf numFmtId="0" fontId="9" fillId="59" borderId="0" applyNumberFormat="0" applyBorder="0" applyAlignment="0" applyProtection="0"/>
    <xf numFmtId="0" fontId="4" fillId="17" borderId="0" applyNumberFormat="0" applyBorder="0" applyAlignment="0" applyProtection="0"/>
    <xf numFmtId="0" fontId="1" fillId="0" borderId="0"/>
    <xf numFmtId="0" fontId="4" fillId="12" borderId="0" applyNumberFormat="0" applyBorder="0" applyAlignment="0" applyProtection="0"/>
    <xf numFmtId="0" fontId="4" fillId="72" borderId="0" applyNumberFormat="0" applyBorder="0" applyAlignment="0" applyProtection="0"/>
    <xf numFmtId="0" fontId="1" fillId="0" borderId="0"/>
    <xf numFmtId="0" fontId="4" fillId="16" borderId="0" applyNumberFormat="0" applyBorder="0" applyAlignment="0" applyProtection="0"/>
    <xf numFmtId="171" fontId="58" fillId="0" borderId="0"/>
    <xf numFmtId="0" fontId="4" fillId="12" borderId="0" applyNumberFormat="0" applyBorder="0" applyAlignment="0" applyProtection="0"/>
    <xf numFmtId="0" fontId="3" fillId="62" borderId="0" applyNumberFormat="0" applyBorder="0" applyAlignment="0" applyProtection="0"/>
    <xf numFmtId="0" fontId="4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6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29" fillId="0" borderId="0"/>
    <xf numFmtId="0" fontId="3" fillId="66" borderId="0" applyNumberFormat="0" applyBorder="0" applyAlignment="0" applyProtection="0"/>
    <xf numFmtId="0" fontId="3" fillId="63" borderId="0" applyNumberFormat="0" applyBorder="0" applyAlignment="0" applyProtection="0"/>
    <xf numFmtId="0" fontId="29" fillId="0" borderId="0"/>
    <xf numFmtId="43" fontId="3" fillId="0" borderId="0" applyFont="0" applyFill="0" applyBorder="0" applyAlignment="0" applyProtection="0"/>
    <xf numFmtId="9" fontId="1" fillId="0" borderId="0" applyFill="0" applyBorder="0" applyAlignment="0" applyProtection="0"/>
    <xf numFmtId="0" fontId="4" fillId="10" borderId="0" applyNumberFormat="0" applyBorder="0" applyAlignment="0" applyProtection="0"/>
    <xf numFmtId="0" fontId="29" fillId="0" borderId="0"/>
    <xf numFmtId="0" fontId="6" fillId="47" borderId="1" applyNumberFormat="0" applyAlignment="0" applyProtection="0"/>
    <xf numFmtId="0" fontId="1" fillId="0" borderId="0"/>
    <xf numFmtId="0" fontId="3" fillId="63" borderId="0" applyNumberFormat="0" applyBorder="0" applyAlignment="0" applyProtection="0"/>
    <xf numFmtId="0" fontId="1" fillId="0" borderId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164" fontId="1" fillId="0" borderId="0" applyFont="0" applyFill="0" applyBorder="0" applyAlignment="0" applyProtection="0"/>
    <xf numFmtId="0" fontId="4" fillId="19" borderId="0" applyNumberFormat="0" applyBorder="0" applyAlignment="0" applyProtection="0"/>
    <xf numFmtId="0" fontId="1" fillId="0" borderId="0"/>
    <xf numFmtId="9" fontId="1" fillId="0" borderId="0" applyFill="0" applyBorder="0" applyAlignment="0" applyProtection="0"/>
    <xf numFmtId="0" fontId="3" fillId="11" borderId="0" applyNumberFormat="0" applyBorder="0" applyAlignment="0" applyProtection="0"/>
    <xf numFmtId="0" fontId="4" fillId="71" borderId="0" applyNumberFormat="0" applyBorder="0" applyAlignment="0" applyProtection="0"/>
    <xf numFmtId="9" fontId="1" fillId="0" borderId="0" applyFill="0" applyBorder="0" applyAlignment="0" applyProtection="0"/>
    <xf numFmtId="0" fontId="3" fillId="8" borderId="0" applyNumberFormat="0" applyBorder="0" applyAlignment="0" applyProtection="0"/>
    <xf numFmtId="0" fontId="29" fillId="0" borderId="0"/>
    <xf numFmtId="0" fontId="4" fillId="68" borderId="0" applyNumberFormat="0" applyBorder="0" applyAlignment="0" applyProtection="0"/>
    <xf numFmtId="0" fontId="1" fillId="0" borderId="0"/>
    <xf numFmtId="0" fontId="3" fillId="59" borderId="0" applyNumberFormat="0" applyBorder="0" applyAlignment="0" applyProtection="0"/>
    <xf numFmtId="0" fontId="16" fillId="24" borderId="8" applyNumberFormat="0" applyAlignment="0" applyProtection="0"/>
    <xf numFmtId="43" fontId="3" fillId="0" borderId="0" applyFont="0" applyFill="0" applyBorder="0" applyAlignment="0" applyProtection="0"/>
    <xf numFmtId="0" fontId="4" fillId="9" borderId="0" applyNumberFormat="0" applyBorder="0" applyAlignment="0" applyProtection="0"/>
    <xf numFmtId="0" fontId="1" fillId="0" borderId="0"/>
    <xf numFmtId="0" fontId="16" fillId="47" borderId="8" applyNumberFormat="0" applyAlignment="0" applyProtection="0"/>
    <xf numFmtId="0" fontId="1" fillId="76" borderId="7" applyNumberFormat="0" applyAlignment="0" applyProtection="0"/>
    <xf numFmtId="0" fontId="3" fillId="65" borderId="0" applyNumberFormat="0" applyBorder="0" applyAlignment="0" applyProtection="0"/>
    <xf numFmtId="0" fontId="15" fillId="56" borderId="0" applyNumberFormat="0" applyBorder="0" applyAlignment="0" applyProtection="0"/>
    <xf numFmtId="0" fontId="3" fillId="62" borderId="0" applyNumberFormat="0" applyBorder="0" applyAlignment="0" applyProtection="0"/>
    <xf numFmtId="0" fontId="13" fillId="62" borderId="1" applyNumberFormat="0" applyAlignment="0" applyProtection="0"/>
    <xf numFmtId="0" fontId="1" fillId="0" borderId="0" applyNumberFormat="0" applyFont="0" applyFill="0" applyBorder="0" applyAlignment="0" applyProtection="0"/>
    <xf numFmtId="0" fontId="9" fillId="59" borderId="0" applyNumberFormat="0" applyBorder="0" applyAlignment="0" applyProtection="0"/>
    <xf numFmtId="0" fontId="4" fillId="10" borderId="0" applyNumberFormat="0" applyBorder="0" applyAlignment="0" applyProtection="0"/>
    <xf numFmtId="0" fontId="7" fillId="75" borderId="2" applyNumberFormat="0" applyAlignment="0" applyProtection="0"/>
    <xf numFmtId="0" fontId="6" fillId="47" borderId="1" applyNumberFormat="0" applyAlignment="0" applyProtection="0"/>
    <xf numFmtId="0" fontId="5" fillId="58" borderId="0" applyNumberFormat="0" applyBorder="0" applyAlignment="0" applyProtection="0"/>
    <xf numFmtId="0" fontId="4" fillId="74" borderId="0" applyNumberFormat="0" applyBorder="0" applyAlignment="0" applyProtection="0"/>
    <xf numFmtId="0" fontId="4" fillId="69" borderId="0" applyNumberFormat="0" applyBorder="0" applyAlignment="0" applyProtection="0"/>
    <xf numFmtId="0" fontId="4" fillId="68" borderId="0" applyNumberFormat="0" applyBorder="0" applyAlignment="0" applyProtection="0"/>
    <xf numFmtId="0" fontId="4" fillId="73" borderId="0" applyNumberFormat="0" applyBorder="0" applyAlignment="0" applyProtection="0"/>
    <xf numFmtId="0" fontId="4" fillId="72" borderId="0" applyNumberFormat="0" applyBorder="0" applyAlignment="0" applyProtection="0"/>
    <xf numFmtId="0" fontId="4" fillId="71" borderId="0" applyNumberFormat="0" applyBorder="0" applyAlignment="0" applyProtection="0"/>
    <xf numFmtId="0" fontId="4" fillId="68" borderId="0" applyNumberFormat="0" applyBorder="0" applyAlignment="0" applyProtection="0"/>
    <xf numFmtId="0" fontId="4" fillId="65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3" fillId="66" borderId="0" applyNumberFormat="0" applyBorder="0" applyAlignment="0" applyProtection="0"/>
    <xf numFmtId="0" fontId="3" fillId="63" borderId="0" applyNumberFormat="0" applyBorder="0" applyAlignment="0" applyProtection="0"/>
    <xf numFmtId="0" fontId="3" fillId="60" borderId="0" applyNumberFormat="0" applyBorder="0" applyAlignment="0" applyProtection="0"/>
    <xf numFmtId="0" fontId="3" fillId="65" borderId="0" applyNumberFormat="0" applyBorder="0" applyAlignment="0" applyProtection="0"/>
    <xf numFmtId="0" fontId="3" fillId="64" borderId="0" applyNumberFormat="0" applyBorder="0" applyAlignment="0" applyProtection="0"/>
    <xf numFmtId="0" fontId="3" fillId="63" borderId="0" applyNumberFormat="0" applyBorder="0" applyAlignment="0" applyProtection="0"/>
    <xf numFmtId="0" fontId="3" fillId="6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/>
    <xf numFmtId="0" fontId="1" fillId="0" borderId="0"/>
    <xf numFmtId="0" fontId="3" fillId="4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7" fillId="21" borderId="2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0" fontId="3" fillId="64" borderId="0" applyNumberFormat="0" applyBorder="0" applyAlignment="0" applyProtection="0"/>
    <xf numFmtId="9" fontId="1" fillId="0" borderId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0" borderId="0"/>
    <xf numFmtId="44" fontId="3" fillId="0" borderId="0" applyFont="0" applyFill="0" applyBorder="0" applyAlignment="0" applyProtection="0"/>
    <xf numFmtId="0" fontId="16" fillId="20" borderId="8" applyNumberFormat="0" applyAlignment="0" applyProtection="0"/>
    <xf numFmtId="0" fontId="4" fillId="7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70" borderId="0" applyNumberFormat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1" fontId="58" fillId="0" borderId="0"/>
    <xf numFmtId="0" fontId="1" fillId="0" borderId="0"/>
    <xf numFmtId="9" fontId="1" fillId="0" borderId="0" applyFill="0" applyBorder="0" applyAlignment="0" applyProtection="0"/>
    <xf numFmtId="0" fontId="1" fillId="0" borderId="0" applyNumberFormat="0" applyFont="0" applyFill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9" fontId="1" fillId="0" borderId="0" applyFont="0" applyFill="0" applyBorder="0" applyAlignment="0" applyProtection="0"/>
    <xf numFmtId="0" fontId="15" fillId="22" borderId="0" applyNumberFormat="0" applyBorder="0" applyAlignment="0" applyProtection="0"/>
    <xf numFmtId="164" fontId="1" fillId="0" borderId="0" applyFont="0" applyFill="0" applyBorder="0" applyAlignment="0" applyProtection="0"/>
    <xf numFmtId="0" fontId="3" fillId="7" borderId="0" applyNumberFormat="0" applyBorder="0" applyAlignment="0" applyProtection="0"/>
    <xf numFmtId="174" fontId="1" fillId="0" borderId="0" applyFill="0" applyBorder="0" applyAlignment="0" applyProtection="0"/>
    <xf numFmtId="0" fontId="9" fillId="59" borderId="0" applyNumberFormat="0" applyBorder="0" applyAlignment="0" applyProtection="0"/>
    <xf numFmtId="0" fontId="1" fillId="0" borderId="0"/>
    <xf numFmtId="0" fontId="1" fillId="0" borderId="0"/>
    <xf numFmtId="0" fontId="3" fillId="60" borderId="0" applyNumberFormat="0" applyBorder="0" applyAlignment="0" applyProtection="0"/>
    <xf numFmtId="0" fontId="1" fillId="76" borderId="7" applyNumberFormat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20" fillId="0" borderId="0">
      <alignment vertical="top" wrapText="1"/>
    </xf>
    <xf numFmtId="0" fontId="9" fillId="4" borderId="0" applyNumberFormat="0" applyBorder="0" applyAlignment="0" applyProtection="0"/>
    <xf numFmtId="43" fontId="3" fillId="0" borderId="0" applyFont="0" applyFill="0" applyBorder="0" applyAlignment="0" applyProtection="0"/>
    <xf numFmtId="0" fontId="4" fillId="68" borderId="0" applyNumberFormat="0" applyBorder="0" applyAlignment="0" applyProtection="0"/>
    <xf numFmtId="0" fontId="4" fillId="13" borderId="0" applyNumberFormat="0" applyBorder="0" applyAlignment="0" applyProtection="0"/>
    <xf numFmtId="0" fontId="29" fillId="0" borderId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" fillId="4" borderId="0" applyNumberFormat="0" applyBorder="0" applyAlignment="0" applyProtection="0"/>
    <xf numFmtId="0" fontId="4" fillId="68" borderId="0" applyNumberFormat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171" fontId="58" fillId="0" borderId="0"/>
    <xf numFmtId="0" fontId="1" fillId="0" borderId="0"/>
    <xf numFmtId="0" fontId="3" fillId="65" borderId="0" applyNumberFormat="0" applyBorder="0" applyAlignment="0" applyProtection="0"/>
    <xf numFmtId="0" fontId="4" fillId="64" borderId="0" applyNumberFormat="0" applyBorder="0" applyAlignment="0" applyProtection="0"/>
    <xf numFmtId="0" fontId="4" fillId="18" borderId="0" applyNumberFormat="0" applyBorder="0" applyAlignment="0" applyProtection="0"/>
    <xf numFmtId="0" fontId="56" fillId="0" borderId="0" applyNumberFormat="0" applyFill="0" applyBorder="0" applyProtection="0">
      <alignment vertical="top" wrapText="1"/>
    </xf>
    <xf numFmtId="0" fontId="4" fillId="1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" fillId="62" borderId="0" applyNumberFormat="0" applyBorder="0" applyAlignment="0" applyProtection="0"/>
    <xf numFmtId="0" fontId="56" fillId="0" borderId="0">
      <alignment vertical="top" wrapText="1"/>
    </xf>
    <xf numFmtId="0" fontId="1" fillId="0" borderId="0"/>
    <xf numFmtId="0" fontId="4" fillId="9" borderId="0" applyNumberFormat="0" applyBorder="0" applyAlignment="0" applyProtection="0"/>
    <xf numFmtId="0" fontId="4" fillId="73" borderId="0" applyNumberFormat="0" applyBorder="0" applyAlignment="0" applyProtection="0"/>
    <xf numFmtId="9" fontId="1" fillId="0" borderId="0" applyFill="0" applyBorder="0" applyAlignment="0" applyProtection="0"/>
    <xf numFmtId="0" fontId="1" fillId="0" borderId="0"/>
    <xf numFmtId="0" fontId="1" fillId="0" borderId="0"/>
    <xf numFmtId="0" fontId="4" fillId="18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ont="0" applyFill="0" applyBorder="0" applyAlignment="0" applyProtection="0"/>
    <xf numFmtId="0" fontId="4" fillId="72" borderId="0" applyNumberFormat="0" applyBorder="0" applyAlignment="0" applyProtection="0"/>
    <xf numFmtId="0" fontId="13" fillId="62" borderId="1" applyNumberFormat="0" applyAlignment="0" applyProtection="0"/>
    <xf numFmtId="0" fontId="5" fillId="58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" fillId="67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69" borderId="0" applyNumberFormat="0" applyBorder="0" applyAlignment="0" applyProtection="0"/>
    <xf numFmtId="0" fontId="4" fillId="15" borderId="0" applyNumberFormat="0" applyBorder="0" applyAlignment="0" applyProtection="0"/>
    <xf numFmtId="43" fontId="3" fillId="0" borderId="0" applyFont="0" applyFill="0" applyBorder="0" applyAlignment="0" applyProtection="0"/>
    <xf numFmtId="0" fontId="3" fillId="63" borderId="0" applyNumberFormat="0" applyBorder="0" applyAlignment="0" applyProtection="0"/>
    <xf numFmtId="0" fontId="1" fillId="0" borderId="0"/>
    <xf numFmtId="0" fontId="29" fillId="0" borderId="0"/>
    <xf numFmtId="0" fontId="4" fillId="64" borderId="0" applyNumberFormat="0" applyBorder="0" applyAlignment="0" applyProtection="0"/>
    <xf numFmtId="9" fontId="3" fillId="0" borderId="0" applyFont="0" applyFill="0" applyBorder="0" applyAlignment="0" applyProtection="0"/>
    <xf numFmtId="0" fontId="4" fillId="65" borderId="0" applyNumberFormat="0" applyBorder="0" applyAlignment="0" applyProtection="0"/>
    <xf numFmtId="0" fontId="4" fillId="69" borderId="0" applyNumberFormat="0" applyBorder="0" applyAlignment="0" applyProtection="0"/>
    <xf numFmtId="0" fontId="9" fillId="4" borderId="0" applyNumberFormat="0" applyBorder="0" applyAlignment="0" applyProtection="0"/>
    <xf numFmtId="0" fontId="6" fillId="20" borderId="1" applyNumberFormat="0" applyAlignment="0" applyProtection="0"/>
    <xf numFmtId="0" fontId="4" fillId="74" borderId="0" applyNumberFormat="0" applyBorder="0" applyAlignment="0" applyProtection="0"/>
    <xf numFmtId="0" fontId="4" fillId="71" borderId="0" applyNumberFormat="0" applyBorder="0" applyAlignment="0" applyProtection="0"/>
    <xf numFmtId="174" fontId="1" fillId="0" borderId="0" applyFill="0" applyBorder="0" applyAlignment="0" applyProtection="0"/>
    <xf numFmtId="0" fontId="4" fillId="7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17" borderId="0" applyNumberFormat="0" applyBorder="0" applyAlignment="0" applyProtection="0"/>
    <xf numFmtId="0" fontId="4" fillId="64" borderId="0" applyNumberFormat="0" applyBorder="0" applyAlignment="0" applyProtection="0"/>
    <xf numFmtId="0" fontId="1" fillId="0" borderId="0"/>
    <xf numFmtId="0" fontId="5" fillId="58" borderId="0" applyNumberFormat="0" applyBorder="0" applyAlignment="0" applyProtection="0"/>
    <xf numFmtId="0" fontId="29" fillId="0" borderId="0"/>
    <xf numFmtId="0" fontId="4" fillId="19" borderId="0" applyNumberFormat="0" applyBorder="0" applyAlignment="0" applyProtection="0"/>
    <xf numFmtId="0" fontId="4" fillId="7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67" borderId="0" applyNumberFormat="0" applyBorder="0" applyAlignment="0" applyProtection="0"/>
    <xf numFmtId="0" fontId="1" fillId="0" borderId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6" fillId="20" borderId="1" applyNumberFormat="0" applyAlignment="0" applyProtection="0"/>
    <xf numFmtId="0" fontId="1" fillId="0" borderId="0"/>
    <xf numFmtId="0" fontId="4" fillId="7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7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67" borderId="0" applyNumberFormat="0" applyBorder="0" applyAlignment="0" applyProtection="0"/>
    <xf numFmtId="0" fontId="1" fillId="0" borderId="0"/>
    <xf numFmtId="0" fontId="3" fillId="9" borderId="0" applyNumberFormat="0" applyBorder="0" applyAlignment="0" applyProtection="0"/>
    <xf numFmtId="0" fontId="1" fillId="0" borderId="0"/>
    <xf numFmtId="0" fontId="9" fillId="59" borderId="0" applyNumberFormat="0" applyBorder="0" applyAlignment="0" applyProtection="0"/>
    <xf numFmtId="0" fontId="4" fillId="67" borderId="0" applyNumberFormat="0" applyBorder="0" applyAlignment="0" applyProtection="0"/>
    <xf numFmtId="0" fontId="3" fillId="57" borderId="0" applyNumberFormat="0" applyBorder="0" applyAlignment="0" applyProtection="0"/>
    <xf numFmtId="0" fontId="4" fillId="70" borderId="0" applyNumberFormat="0" applyBorder="0" applyAlignment="0" applyProtection="0"/>
    <xf numFmtId="0" fontId="6" fillId="20" borderId="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74" borderId="0" applyNumberFormat="0" applyBorder="0" applyAlignment="0" applyProtection="0"/>
    <xf numFmtId="0" fontId="7" fillId="75" borderId="2" applyNumberFormat="0" applyAlignment="0" applyProtection="0"/>
    <xf numFmtId="174" fontId="1" fillId="0" borderId="0" applyFill="0" applyBorder="0" applyAlignment="0" applyProtection="0"/>
    <xf numFmtId="0" fontId="1" fillId="0" borderId="0"/>
    <xf numFmtId="0" fontId="4" fillId="74" borderId="0" applyNumberFormat="0" applyBorder="0" applyAlignment="0" applyProtection="0"/>
    <xf numFmtId="0" fontId="4" fillId="13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10" borderId="0" applyNumberFormat="0" applyBorder="0" applyAlignment="0" applyProtection="0"/>
    <xf numFmtId="170" fontId="1" fillId="0" borderId="0" applyFill="0" applyBorder="0" applyAlignment="0" applyProtection="0"/>
    <xf numFmtId="0" fontId="16" fillId="20" borderId="8" applyNumberFormat="0" applyAlignment="0" applyProtection="0"/>
    <xf numFmtId="0" fontId="1" fillId="0" borderId="0"/>
    <xf numFmtId="0" fontId="3" fillId="66" borderId="0" applyNumberFormat="0" applyBorder="0" applyAlignment="0" applyProtection="0"/>
    <xf numFmtId="0" fontId="3" fillId="5" borderId="0" applyNumberFormat="0" applyBorder="0" applyAlignment="0" applyProtection="0"/>
    <xf numFmtId="0" fontId="29" fillId="0" borderId="0"/>
    <xf numFmtId="0" fontId="3" fillId="63" borderId="0" applyNumberFormat="0" applyBorder="0" applyAlignment="0" applyProtection="0"/>
    <xf numFmtId="0" fontId="4" fillId="72" borderId="0" applyNumberFormat="0" applyBorder="0" applyAlignment="0" applyProtection="0"/>
    <xf numFmtId="0" fontId="1" fillId="0" borderId="0"/>
    <xf numFmtId="0" fontId="4" fillId="70" borderId="0" applyNumberFormat="0" applyBorder="0" applyAlignment="0" applyProtection="0"/>
    <xf numFmtId="0" fontId="4" fillId="69" borderId="0" applyNumberFormat="0" applyBorder="0" applyAlignment="0" applyProtection="0"/>
    <xf numFmtId="9" fontId="1" fillId="0" borderId="0" applyFill="0" applyBorder="0" applyAlignment="0" applyProtection="0"/>
    <xf numFmtId="0" fontId="16" fillId="20" borderId="8" applyNumberFormat="0" applyAlignment="0" applyProtection="0"/>
    <xf numFmtId="0" fontId="3" fillId="23" borderId="7" applyNumberFormat="0" applyFont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61" borderId="0" applyNumberFormat="0" applyBorder="0" applyAlignment="0" applyProtection="0"/>
    <xf numFmtId="0" fontId="3" fillId="5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14" borderId="0" applyNumberFormat="0" applyBorder="0" applyAlignment="0" applyProtection="0"/>
    <xf numFmtId="0" fontId="56" fillId="0" borderId="0" applyNumberFormat="0" applyFill="0" applyBorder="0" applyProtection="0">
      <alignment vertical="top" wrapText="1"/>
    </xf>
    <xf numFmtId="0" fontId="1" fillId="0" borderId="0"/>
    <xf numFmtId="0" fontId="3" fillId="2" borderId="0" applyNumberFormat="0" applyBorder="0" applyAlignment="0" applyProtection="0"/>
    <xf numFmtId="0" fontId="1" fillId="0" borderId="0"/>
    <xf numFmtId="0" fontId="13" fillId="7" borderId="1" applyNumberFormat="0" applyAlignment="0" applyProtection="0"/>
    <xf numFmtId="0" fontId="56" fillId="0" borderId="0">
      <alignment vertical="top" wrapText="1"/>
    </xf>
    <xf numFmtId="0" fontId="4" fillId="14" borderId="0" applyNumberFormat="0" applyBorder="0" applyAlignment="0" applyProtection="0"/>
    <xf numFmtId="0" fontId="3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16" borderId="0" applyNumberFormat="0" applyBorder="0" applyAlignment="0" applyProtection="0"/>
    <xf numFmtId="0" fontId="3" fillId="10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19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3" fillId="59" borderId="0" applyNumberFormat="0" applyBorder="0" applyAlignment="0" applyProtection="0"/>
    <xf numFmtId="0" fontId="15" fillId="5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70" borderId="0" applyNumberFormat="0" applyBorder="0" applyAlignment="0" applyProtection="0"/>
    <xf numFmtId="0" fontId="13" fillId="62" borderId="1" applyNumberFormat="0" applyAlignment="0" applyProtection="0"/>
    <xf numFmtId="0" fontId="13" fillId="62" borderId="1" applyNumberFormat="0" applyAlignment="0" applyProtection="0"/>
    <xf numFmtId="0" fontId="15" fillId="22" borderId="0" applyNumberFormat="0" applyBorder="0" applyAlignment="0" applyProtection="0"/>
    <xf numFmtId="0" fontId="4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3" fillId="3" borderId="0" applyNumberFormat="0" applyBorder="0" applyAlignment="0" applyProtection="0"/>
    <xf numFmtId="0" fontId="29" fillId="0" borderId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164" fontId="1" fillId="0" borderId="0" applyFont="0" applyFill="0" applyBorder="0" applyAlignment="0" applyProtection="0"/>
    <xf numFmtId="0" fontId="29" fillId="0" borderId="0"/>
    <xf numFmtId="0" fontId="16" fillId="47" borderId="8" applyNumberFormat="0" applyAlignment="0" applyProtection="0"/>
    <xf numFmtId="0" fontId="3" fillId="0" borderId="0"/>
    <xf numFmtId="0" fontId="29" fillId="0" borderId="0"/>
    <xf numFmtId="43" fontId="1" fillId="0" borderId="0" applyFont="0" applyFill="0" applyBorder="0" applyAlignment="0" applyProtection="0"/>
    <xf numFmtId="0" fontId="3" fillId="0" borderId="0"/>
    <xf numFmtId="0" fontId="16" fillId="20" borderId="8" applyNumberFormat="0" applyAlignment="0" applyProtection="0"/>
    <xf numFmtId="0" fontId="16" fillId="24" borderId="8" applyNumberFormat="0" applyAlignment="0" applyProtection="0"/>
    <xf numFmtId="0" fontId="1" fillId="0" borderId="0"/>
    <xf numFmtId="0" fontId="5" fillId="3" borderId="0" applyNumberFormat="0" applyBorder="0" applyAlignment="0" applyProtection="0"/>
    <xf numFmtId="0" fontId="4" fillId="14" borderId="0" applyNumberFormat="0" applyBorder="0" applyAlignment="0" applyProtection="0"/>
    <xf numFmtId="170" fontId="1" fillId="0" borderId="0" applyFill="0" applyBorder="0" applyAlignment="0" applyProtection="0"/>
    <xf numFmtId="0" fontId="3" fillId="63" borderId="0" applyNumberFormat="0" applyBorder="0" applyAlignment="0" applyProtection="0"/>
    <xf numFmtId="0" fontId="3" fillId="8" borderId="0" applyNumberFormat="0" applyBorder="0" applyAlignment="0" applyProtection="0"/>
    <xf numFmtId="0" fontId="29" fillId="0" borderId="0"/>
    <xf numFmtId="0" fontId="9" fillId="4" borderId="0" applyNumberFormat="0" applyBorder="0" applyAlignment="0" applyProtection="0"/>
    <xf numFmtId="0" fontId="3" fillId="60" borderId="0" applyNumberFormat="0" applyBorder="0" applyAlignment="0" applyProtection="0"/>
    <xf numFmtId="0" fontId="1" fillId="76" borderId="7" applyNumberFormat="0" applyAlignment="0" applyProtection="0"/>
    <xf numFmtId="0" fontId="6" fillId="20" borderId="1" applyNumberFormat="0" applyAlignment="0" applyProtection="0"/>
    <xf numFmtId="0" fontId="1" fillId="0" borderId="0" applyNumberFormat="0" applyFont="0" applyFill="0" applyBorder="0" applyAlignment="0" applyProtection="0"/>
    <xf numFmtId="0" fontId="16" fillId="20" borderId="8" applyNumberFormat="0" applyAlignment="0" applyProtection="0"/>
    <xf numFmtId="0" fontId="1" fillId="0" borderId="0"/>
    <xf numFmtId="0" fontId="4" fillId="65" borderId="0" applyNumberFormat="0" applyBorder="0" applyAlignment="0" applyProtection="0"/>
    <xf numFmtId="0" fontId="3" fillId="61" borderId="0" applyNumberFormat="0" applyBorder="0" applyAlignment="0" applyProtection="0"/>
    <xf numFmtId="0" fontId="7" fillId="21" borderId="2" applyNumberFormat="0" applyAlignment="0" applyProtection="0"/>
    <xf numFmtId="0" fontId="29" fillId="0" borderId="0"/>
    <xf numFmtId="0" fontId="3" fillId="4" borderId="0" applyNumberFormat="0" applyBorder="0" applyAlignment="0" applyProtection="0"/>
    <xf numFmtId="44" fontId="3" fillId="0" borderId="0" applyFont="0" applyFill="0" applyBorder="0" applyAlignment="0" applyProtection="0"/>
    <xf numFmtId="0" fontId="4" fillId="17" borderId="0" applyNumberFormat="0" applyBorder="0" applyAlignment="0" applyProtection="0"/>
    <xf numFmtId="0" fontId="1" fillId="0" borderId="0"/>
    <xf numFmtId="9" fontId="1" fillId="0" borderId="0" applyFill="0" applyBorder="0" applyAlignment="0" applyProtection="0"/>
    <xf numFmtId="0" fontId="13" fillId="62" borderId="1" applyNumberFormat="0" applyAlignment="0" applyProtection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23" borderId="7" applyNumberFormat="0" applyFont="0" applyAlignment="0" applyProtection="0"/>
    <xf numFmtId="9" fontId="1" fillId="0" borderId="0" applyFill="0" applyBorder="0" applyAlignment="0" applyProtection="0"/>
    <xf numFmtId="43" fontId="3" fillId="0" borderId="0" applyFont="0" applyFill="0" applyBorder="0" applyAlignment="0" applyProtection="0"/>
    <xf numFmtId="0" fontId="4" fillId="69" borderId="0" applyNumberFormat="0" applyBorder="0" applyAlignment="0" applyProtection="0"/>
    <xf numFmtId="0" fontId="3" fillId="10" borderId="0" applyNumberFormat="0" applyBorder="0" applyAlignment="0" applyProtection="0"/>
    <xf numFmtId="0" fontId="7" fillId="21" borderId="2" applyNumberFormat="0" applyAlignment="0" applyProtection="0"/>
    <xf numFmtId="0" fontId="3" fillId="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/>
    <xf numFmtId="0" fontId="3" fillId="57" borderId="0" applyNumberFormat="0" applyBorder="0" applyAlignment="0" applyProtection="0"/>
    <xf numFmtId="0" fontId="6" fillId="47" borderId="1" applyNumberFormat="0" applyAlignment="0" applyProtection="0"/>
    <xf numFmtId="0" fontId="4" fillId="13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9" fillId="59" borderId="0" applyNumberFormat="0" applyBorder="0" applyAlignment="0" applyProtection="0"/>
    <xf numFmtId="0" fontId="3" fillId="58" borderId="0" applyNumberFormat="0" applyBorder="0" applyAlignment="0" applyProtection="0"/>
    <xf numFmtId="0" fontId="1" fillId="0" borderId="0"/>
    <xf numFmtId="0" fontId="4" fillId="16" borderId="0" applyNumberFormat="0" applyBorder="0" applyAlignment="0" applyProtection="0"/>
    <xf numFmtId="0" fontId="4" fillId="6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74" borderId="0" applyNumberFormat="0" applyBorder="0" applyAlignment="0" applyProtection="0"/>
    <xf numFmtId="0" fontId="16" fillId="20" borderId="8" applyNumberForma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  <xf numFmtId="0" fontId="3" fillId="62" borderId="0" applyNumberFormat="0" applyBorder="0" applyAlignment="0" applyProtection="0"/>
    <xf numFmtId="0" fontId="3" fillId="5" borderId="0" applyNumberFormat="0" applyBorder="0" applyAlignment="0" applyProtection="0"/>
    <xf numFmtId="0" fontId="29" fillId="0" borderId="0"/>
    <xf numFmtId="0" fontId="1" fillId="23" borderId="7" applyNumberFormat="0" applyFont="0" applyAlignment="0" applyProtection="0"/>
    <xf numFmtId="0" fontId="3" fillId="7" borderId="0" applyNumberFormat="0" applyBorder="0" applyAlignment="0" applyProtection="0"/>
    <xf numFmtId="0" fontId="7" fillId="75" borderId="2" applyNumberFormat="0" applyAlignment="0" applyProtection="0"/>
    <xf numFmtId="0" fontId="13" fillId="7" borderId="1" applyNumberFormat="0" applyAlignment="0" applyProtection="0"/>
    <xf numFmtId="43" fontId="3" fillId="0" borderId="0" applyFont="0" applyFill="0" applyBorder="0" applyAlignment="0" applyProtection="0"/>
    <xf numFmtId="171" fontId="58" fillId="0" borderId="0"/>
    <xf numFmtId="0" fontId="4" fillId="71" borderId="0" applyNumberFormat="0" applyBorder="0" applyAlignment="0" applyProtection="0"/>
    <xf numFmtId="0" fontId="4" fillId="15" borderId="0" applyNumberFormat="0" applyBorder="0" applyAlignment="0" applyProtection="0"/>
    <xf numFmtId="0" fontId="3" fillId="9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6" fillId="47" borderId="8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4" fillId="16" borderId="0" applyNumberFormat="0" applyBorder="0" applyAlignment="0" applyProtection="0"/>
    <xf numFmtId="0" fontId="3" fillId="63" borderId="0" applyNumberFormat="0" applyBorder="0" applyAlignment="0" applyProtection="0"/>
    <xf numFmtId="0" fontId="4" fillId="13" borderId="0" applyNumberFormat="0" applyBorder="0" applyAlignment="0" applyProtection="0"/>
    <xf numFmtId="0" fontId="4" fillId="69" borderId="0" applyNumberFormat="0" applyBorder="0" applyAlignment="0" applyProtection="0"/>
    <xf numFmtId="0" fontId="3" fillId="6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56" fillId="0" borderId="0">
      <alignment vertical="top" wrapText="1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Protection="0">
      <alignment vertical="top" wrapText="1"/>
    </xf>
    <xf numFmtId="0" fontId="15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23" borderId="7" applyNumberFormat="0" applyFont="0" applyAlignment="0" applyProtection="0"/>
    <xf numFmtId="9" fontId="1" fillId="0" borderId="0" applyFill="0" applyBorder="0" applyAlignment="0" applyProtection="0"/>
    <xf numFmtId="0" fontId="4" fillId="17" borderId="0" applyNumberFormat="0" applyBorder="0" applyAlignment="0" applyProtection="0"/>
    <xf numFmtId="0" fontId="3" fillId="10" borderId="0" applyNumberFormat="0" applyBorder="0" applyAlignment="0" applyProtection="0"/>
    <xf numFmtId="0" fontId="7" fillId="21" borderId="2" applyNumberFormat="0" applyAlignment="0" applyProtection="0"/>
    <xf numFmtId="0" fontId="3" fillId="2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57" borderId="0" applyNumberFormat="0" applyBorder="0" applyAlignment="0" applyProtection="0"/>
    <xf numFmtId="0" fontId="6" fillId="47" borderId="1" applyNumberFormat="0" applyAlignment="0" applyProtection="0"/>
    <xf numFmtId="0" fontId="4" fillId="67" borderId="0" applyNumberFormat="0" applyBorder="0" applyAlignment="0" applyProtection="0"/>
    <xf numFmtId="0" fontId="4" fillId="72" borderId="0" applyNumberFormat="0" applyBorder="0" applyAlignment="0" applyProtection="0"/>
    <xf numFmtId="43" fontId="3" fillId="0" borderId="0" applyFont="0" applyFill="0" applyBorder="0" applyAlignment="0" applyProtection="0"/>
    <xf numFmtId="0" fontId="9" fillId="59" borderId="0" applyNumberFormat="0" applyBorder="0" applyAlignment="0" applyProtection="0"/>
    <xf numFmtId="0" fontId="3" fillId="58" borderId="0" applyNumberFormat="0" applyBorder="0" applyAlignment="0" applyProtection="0"/>
    <xf numFmtId="0" fontId="1" fillId="0" borderId="0"/>
    <xf numFmtId="0" fontId="3" fillId="61" borderId="0" applyNumberFormat="0" applyBorder="0" applyAlignment="0" applyProtection="0"/>
    <xf numFmtId="0" fontId="4" fillId="68" borderId="0" applyNumberFormat="0" applyBorder="0" applyAlignment="0" applyProtection="0"/>
    <xf numFmtId="0" fontId="3" fillId="66" borderId="0" applyNumberFormat="0" applyBorder="0" applyAlignment="0" applyProtection="0"/>
    <xf numFmtId="164" fontId="1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58" borderId="0" applyNumberFormat="0" applyBorder="0" applyAlignment="0" applyProtection="0"/>
    <xf numFmtId="0" fontId="3" fillId="8" borderId="0" applyNumberFormat="0" applyBorder="0" applyAlignment="0" applyProtection="0"/>
    <xf numFmtId="43" fontId="3" fillId="0" borderId="0" applyFont="0" applyFill="0" applyBorder="0" applyAlignment="0" applyProtection="0"/>
    <xf numFmtId="0" fontId="20" fillId="0" borderId="0">
      <alignment vertical="top" wrapText="1"/>
    </xf>
    <xf numFmtId="0" fontId="3" fillId="60" borderId="0" applyNumberFormat="0" applyBorder="0" applyAlignment="0" applyProtection="0"/>
    <xf numFmtId="9" fontId="1" fillId="0" borderId="0" applyFill="0" applyBorder="0" applyAlignment="0" applyProtection="0"/>
    <xf numFmtId="0" fontId="3" fillId="0" borderId="0"/>
    <xf numFmtId="0" fontId="29" fillId="0" borderId="0"/>
    <xf numFmtId="43" fontId="1" fillId="0" borderId="0" applyFont="0" applyFill="0" applyBorder="0" applyAlignment="0" applyProtection="0"/>
    <xf numFmtId="0" fontId="3" fillId="0" borderId="0"/>
    <xf numFmtId="0" fontId="16" fillId="20" borderId="8" applyNumberFormat="0" applyAlignment="0" applyProtection="0"/>
    <xf numFmtId="0" fontId="16" fillId="24" borderId="8" applyNumberFormat="0" applyAlignment="0" applyProtection="0"/>
    <xf numFmtId="0" fontId="1" fillId="0" borderId="0"/>
    <xf numFmtId="0" fontId="5" fillId="3" borderId="0" applyNumberFormat="0" applyBorder="0" applyAlignment="0" applyProtection="0"/>
    <xf numFmtId="0" fontId="4" fillId="14" borderId="0" applyNumberFormat="0" applyBorder="0" applyAlignment="0" applyProtection="0"/>
    <xf numFmtId="170" fontId="1" fillId="0" borderId="0" applyFill="0" applyBorder="0" applyAlignment="0" applyProtection="0"/>
    <xf numFmtId="0" fontId="3" fillId="63" borderId="0" applyNumberFormat="0" applyBorder="0" applyAlignment="0" applyProtection="0"/>
    <xf numFmtId="0" fontId="3" fillId="8" borderId="0" applyNumberFormat="0" applyBorder="0" applyAlignment="0" applyProtection="0"/>
    <xf numFmtId="0" fontId="29" fillId="0" borderId="0"/>
    <xf numFmtId="0" fontId="9" fillId="4" borderId="0" applyNumberFormat="0" applyBorder="0" applyAlignment="0" applyProtection="0"/>
    <xf numFmtId="0" fontId="3" fillId="60" borderId="0" applyNumberFormat="0" applyBorder="0" applyAlignment="0" applyProtection="0"/>
    <xf numFmtId="0" fontId="1" fillId="76" borderId="7" applyNumberFormat="0" applyAlignment="0" applyProtection="0"/>
    <xf numFmtId="164" fontId="1" fillId="0" borderId="0" applyFont="0" applyFill="0" applyBorder="0" applyAlignment="0" applyProtection="0"/>
    <xf numFmtId="0" fontId="6" fillId="20" borderId="1" applyNumberFormat="0" applyAlignment="0" applyProtection="0"/>
    <xf numFmtId="0" fontId="1" fillId="0" borderId="0" applyNumberFormat="0" applyFont="0" applyFill="0" applyBorder="0" applyAlignment="0" applyProtection="0"/>
    <xf numFmtId="0" fontId="16" fillId="20" borderId="8" applyNumberFormat="0" applyAlignment="0" applyProtection="0"/>
    <xf numFmtId="0" fontId="1" fillId="0" borderId="0"/>
    <xf numFmtId="0" fontId="4" fillId="65" borderId="0" applyNumberFormat="0" applyBorder="0" applyAlignment="0" applyProtection="0"/>
    <xf numFmtId="0" fontId="4" fillId="69" borderId="0" applyNumberFormat="0" applyBorder="0" applyAlignment="0" applyProtection="0"/>
    <xf numFmtId="174" fontId="1" fillId="0" borderId="0" applyFill="0" applyBorder="0" applyAlignment="0" applyProtection="0"/>
    <xf numFmtId="0" fontId="1" fillId="0" borderId="0"/>
    <xf numFmtId="0" fontId="3" fillId="65" borderId="0" applyNumberFormat="0" applyBorder="0" applyAlignment="0" applyProtection="0"/>
    <xf numFmtId="44" fontId="3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  <xf numFmtId="0" fontId="3" fillId="5" borderId="0" applyNumberFormat="0" applyBorder="0" applyAlignment="0" applyProtection="0"/>
    <xf numFmtId="0" fontId="29" fillId="0" borderId="0"/>
    <xf numFmtId="0" fontId="1" fillId="23" borderId="7" applyNumberFormat="0" applyFont="0" applyAlignment="0" applyProtection="0"/>
    <xf numFmtId="0" fontId="3" fillId="7" borderId="0" applyNumberFormat="0" applyBorder="0" applyAlignment="0" applyProtection="0"/>
    <xf numFmtId="0" fontId="7" fillId="75" borderId="2" applyNumberFormat="0" applyAlignment="0" applyProtection="0"/>
    <xf numFmtId="0" fontId="13" fillId="7" borderId="1" applyNumberFormat="0" applyAlignment="0" applyProtection="0"/>
    <xf numFmtId="171" fontId="58" fillId="0" borderId="0"/>
    <xf numFmtId="0" fontId="4" fillId="15" borderId="0" applyNumberFormat="0" applyBorder="0" applyAlignment="0" applyProtection="0"/>
    <xf numFmtId="0" fontId="3" fillId="9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6" fillId="47" borderId="8" applyNumberFormat="0" applyAlignment="0" applyProtection="0"/>
    <xf numFmtId="0" fontId="1" fillId="0" borderId="0" applyNumberFormat="0" applyFont="0" applyFill="0" applyBorder="0" applyAlignment="0" applyProtection="0"/>
    <xf numFmtId="0" fontId="3" fillId="63" borderId="0" applyNumberFormat="0" applyBorder="0" applyAlignment="0" applyProtection="0"/>
    <xf numFmtId="0" fontId="4" fillId="13" borderId="0" applyNumberFormat="0" applyBorder="0" applyAlignment="0" applyProtection="0"/>
    <xf numFmtId="0" fontId="4" fillId="69" borderId="0" applyNumberFormat="0" applyBorder="0" applyAlignment="0" applyProtection="0"/>
    <xf numFmtId="0" fontId="3" fillId="6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" fillId="6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56" fillId="0" borderId="0">
      <alignment vertical="top" wrapText="1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Protection="0">
      <alignment vertical="top" wrapText="1"/>
    </xf>
    <xf numFmtId="0" fontId="15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23" borderId="7" applyNumberFormat="0" applyFont="0" applyAlignment="0" applyProtection="0"/>
    <xf numFmtId="9" fontId="1" fillId="0" borderId="0" applyFill="0" applyBorder="0" applyAlignment="0" applyProtection="0"/>
    <xf numFmtId="0" fontId="4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57" borderId="0" applyNumberFormat="0" applyBorder="0" applyAlignment="0" applyProtection="0"/>
    <xf numFmtId="0" fontId="6" fillId="47" borderId="1" applyNumberFormat="0" applyAlignment="0" applyProtection="0"/>
    <xf numFmtId="43" fontId="3" fillId="0" borderId="0" applyFont="0" applyFill="0" applyBorder="0" applyAlignment="0" applyProtection="0"/>
    <xf numFmtId="0" fontId="3" fillId="58" borderId="0" applyNumberFormat="0" applyBorder="0" applyAlignment="0" applyProtection="0"/>
    <xf numFmtId="0" fontId="1" fillId="0" borderId="0"/>
    <xf numFmtId="0" fontId="3" fillId="61" borderId="0" applyNumberFormat="0" applyBorder="0" applyAlignment="0" applyProtection="0"/>
    <xf numFmtId="0" fontId="4" fillId="68" borderId="0" applyNumberFormat="0" applyBorder="0" applyAlignment="0" applyProtection="0"/>
    <xf numFmtId="0" fontId="3" fillId="66" borderId="0" applyNumberFormat="0" applyBorder="0" applyAlignment="0" applyProtection="0"/>
    <xf numFmtId="164" fontId="1" fillId="0" borderId="0" applyFont="0" applyFill="0" applyBorder="0" applyAlignment="0" applyProtection="0"/>
    <xf numFmtId="0" fontId="5" fillId="58" borderId="0" applyNumberFormat="0" applyBorder="0" applyAlignment="0" applyProtection="0"/>
    <xf numFmtId="0" fontId="3" fillId="8" borderId="0" applyNumberFormat="0" applyBorder="0" applyAlignment="0" applyProtection="0"/>
    <xf numFmtId="43" fontId="3" fillId="0" borderId="0" applyFont="0" applyFill="0" applyBorder="0" applyAlignment="0" applyProtection="0"/>
    <xf numFmtId="0" fontId="20" fillId="0" borderId="0">
      <alignment vertical="top" wrapText="1"/>
    </xf>
    <xf numFmtId="0" fontId="3" fillId="60" borderId="0" applyNumberFormat="0" applyBorder="0" applyAlignment="0" applyProtection="0"/>
    <xf numFmtId="9" fontId="1" fillId="0" borderId="0" applyFill="0" applyBorder="0" applyAlignment="0" applyProtection="0"/>
    <xf numFmtId="0" fontId="3" fillId="0" borderId="0"/>
    <xf numFmtId="0" fontId="29" fillId="0" borderId="0"/>
    <xf numFmtId="43" fontId="1" fillId="0" borderId="0" applyFont="0" applyFill="0" applyBorder="0" applyAlignment="0" applyProtection="0"/>
    <xf numFmtId="0" fontId="3" fillId="0" borderId="0"/>
    <xf numFmtId="0" fontId="16" fillId="20" borderId="8" applyNumberFormat="0" applyAlignment="0" applyProtection="0"/>
    <xf numFmtId="0" fontId="16" fillId="24" borderId="8" applyNumberFormat="0" applyAlignment="0" applyProtection="0"/>
    <xf numFmtId="0" fontId="5" fillId="3" borderId="0" applyNumberFormat="0" applyBorder="0" applyAlignment="0" applyProtection="0"/>
    <xf numFmtId="0" fontId="4" fillId="14" borderId="0" applyNumberFormat="0" applyBorder="0" applyAlignment="0" applyProtection="0"/>
    <xf numFmtId="170" fontId="1" fillId="0" borderId="0" applyFill="0" applyBorder="0" applyAlignment="0" applyProtection="0"/>
    <xf numFmtId="0" fontId="3" fillId="63" borderId="0" applyNumberFormat="0" applyBorder="0" applyAlignment="0" applyProtection="0"/>
    <xf numFmtId="0" fontId="3" fillId="8" borderId="0" applyNumberFormat="0" applyBorder="0" applyAlignment="0" applyProtection="0"/>
    <xf numFmtId="0" fontId="29" fillId="0" borderId="0"/>
    <xf numFmtId="0" fontId="9" fillId="4" borderId="0" applyNumberFormat="0" applyBorder="0" applyAlignment="0" applyProtection="0"/>
    <xf numFmtId="0" fontId="3" fillId="60" borderId="0" applyNumberFormat="0" applyBorder="0" applyAlignment="0" applyProtection="0"/>
    <xf numFmtId="0" fontId="1" fillId="76" borderId="7" applyNumberFormat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4" fillId="65" borderId="0" applyNumberFormat="0" applyBorder="0" applyAlignment="0" applyProtection="0"/>
    <xf numFmtId="0" fontId="4" fillId="69" borderId="0" applyNumberFormat="0" applyBorder="0" applyAlignment="0" applyProtection="0"/>
    <xf numFmtId="174" fontId="1" fillId="0" borderId="0" applyFill="0" applyBorder="0" applyAlignment="0" applyProtection="0"/>
    <xf numFmtId="0" fontId="1" fillId="0" borderId="0"/>
    <xf numFmtId="0" fontId="3" fillId="65" borderId="0" applyNumberFormat="0" applyBorder="0" applyAlignment="0" applyProtection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1" fillId="0" borderId="0"/>
    <xf numFmtId="0" fontId="3" fillId="5" borderId="0" applyNumberFormat="0" applyBorder="0" applyAlignment="0" applyProtection="0"/>
    <xf numFmtId="0" fontId="29" fillId="0" borderId="0"/>
    <xf numFmtId="0" fontId="1" fillId="23" borderId="7" applyNumberFormat="0" applyFont="0" applyAlignment="0" applyProtection="0"/>
    <xf numFmtId="0" fontId="3" fillId="7" borderId="0" applyNumberFormat="0" applyBorder="0" applyAlignment="0" applyProtection="0"/>
    <xf numFmtId="0" fontId="7" fillId="75" borderId="2" applyNumberFormat="0" applyAlignment="0" applyProtection="0"/>
    <xf numFmtId="0" fontId="13" fillId="7" borderId="1" applyNumberFormat="0" applyAlignment="0" applyProtection="0"/>
    <xf numFmtId="171" fontId="58" fillId="0" borderId="0"/>
    <xf numFmtId="0" fontId="4" fillId="15" borderId="0" applyNumberFormat="0" applyBorder="0" applyAlignment="0" applyProtection="0"/>
    <xf numFmtId="0" fontId="3" fillId="9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6" fillId="47" borderId="8" applyNumberFormat="0" applyAlignment="0" applyProtection="0"/>
    <xf numFmtId="0" fontId="4" fillId="13" borderId="0" applyNumberFormat="0" applyBorder="0" applyAlignment="0" applyProtection="0"/>
    <xf numFmtId="0" fontId="4" fillId="69" borderId="0" applyNumberFormat="0" applyBorder="0" applyAlignment="0" applyProtection="0"/>
    <xf numFmtId="0" fontId="3" fillId="6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" fillId="6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56" fillId="0" borderId="0">
      <alignment vertical="top" wrapText="1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Protection="0">
      <alignment vertical="top" wrapText="1"/>
    </xf>
    <xf numFmtId="0" fontId="15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9" fontId="1" fillId="0" borderId="0" applyFill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57" borderId="0" applyNumberFormat="0" applyBorder="0" applyAlignment="0" applyProtection="0"/>
    <xf numFmtId="0" fontId="6" fillId="47" borderId="1" applyNumberFormat="0" applyAlignment="0" applyProtection="0"/>
    <xf numFmtId="43" fontId="3" fillId="0" borderId="0" applyFont="0" applyFill="0" applyBorder="0" applyAlignment="0" applyProtection="0"/>
    <xf numFmtId="0" fontId="3" fillId="58" borderId="0" applyNumberFormat="0" applyBorder="0" applyAlignment="0" applyProtection="0"/>
    <xf numFmtId="0" fontId="1" fillId="0" borderId="0"/>
    <xf numFmtId="0" fontId="3" fillId="61" borderId="0" applyNumberFormat="0" applyBorder="0" applyAlignment="0" applyProtection="0"/>
    <xf numFmtId="0" fontId="4" fillId="68" borderId="0" applyNumberFormat="0" applyBorder="0" applyAlignment="0" applyProtection="0"/>
    <xf numFmtId="0" fontId="3" fillId="66" borderId="0" applyNumberFormat="0" applyBorder="0" applyAlignment="0" applyProtection="0"/>
    <xf numFmtId="164" fontId="1" fillId="0" borderId="0" applyFont="0" applyFill="0" applyBorder="0" applyAlignment="0" applyProtection="0"/>
    <xf numFmtId="0" fontId="5" fillId="58" borderId="0" applyNumberFormat="0" applyBorder="0" applyAlignment="0" applyProtection="0"/>
    <xf numFmtId="0" fontId="3" fillId="8" borderId="0" applyNumberFormat="0" applyBorder="0" applyAlignment="0" applyProtection="0"/>
    <xf numFmtId="43" fontId="3" fillId="0" borderId="0" applyFont="0" applyFill="0" applyBorder="0" applyAlignment="0" applyProtection="0"/>
    <xf numFmtId="0" fontId="20" fillId="0" borderId="0">
      <alignment vertical="top" wrapText="1"/>
    </xf>
    <xf numFmtId="0" fontId="3" fillId="60" borderId="0" applyNumberFormat="0" applyBorder="0" applyAlignment="0" applyProtection="0"/>
    <xf numFmtId="9" fontId="1" fillId="0" borderId="0" applyFill="0" applyBorder="0" applyAlignment="0" applyProtection="0"/>
    <xf numFmtId="0" fontId="3" fillId="0" borderId="0"/>
    <xf numFmtId="0" fontId="29" fillId="0" borderId="0"/>
    <xf numFmtId="43" fontId="1" fillId="0" borderId="0" applyFont="0" applyFill="0" applyBorder="0" applyAlignment="0" applyProtection="0"/>
    <xf numFmtId="0" fontId="3" fillId="0" borderId="0"/>
    <xf numFmtId="0" fontId="16" fillId="20" borderId="8" applyNumberFormat="0" applyAlignment="0" applyProtection="0"/>
    <xf numFmtId="0" fontId="16" fillId="24" borderId="8" applyNumberFormat="0" applyAlignment="0" applyProtection="0"/>
    <xf numFmtId="170" fontId="1" fillId="0" borderId="0" applyFill="0" applyBorder="0" applyAlignment="0" applyProtection="0"/>
    <xf numFmtId="0" fontId="3" fillId="63" borderId="0" applyNumberFormat="0" applyBorder="0" applyAlignment="0" applyProtection="0"/>
    <xf numFmtId="0" fontId="3" fillId="8" borderId="0" applyNumberFormat="0" applyBorder="0" applyAlignment="0" applyProtection="0"/>
    <xf numFmtId="0" fontId="3" fillId="60" borderId="0" applyNumberFormat="0" applyBorder="0" applyAlignment="0" applyProtection="0"/>
    <xf numFmtId="0" fontId="1" fillId="76" borderId="7" applyNumberFormat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65" borderId="0" applyNumberFormat="0" applyBorder="0" applyAlignment="0" applyProtection="0"/>
    <xf numFmtId="0" fontId="4" fillId="69" borderId="0" applyNumberFormat="0" applyBorder="0" applyAlignment="0" applyProtection="0"/>
    <xf numFmtId="174" fontId="1" fillId="0" borderId="0" applyFill="0" applyBorder="0" applyAlignment="0" applyProtection="0"/>
    <xf numFmtId="0" fontId="3" fillId="65" borderId="0" applyNumberFormat="0" applyBorder="0" applyAlignment="0" applyProtection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1" fillId="0" borderId="0"/>
    <xf numFmtId="0" fontId="3" fillId="5" borderId="0" applyNumberFormat="0" applyBorder="0" applyAlignment="0" applyProtection="0"/>
    <xf numFmtId="0" fontId="29" fillId="0" borderId="0"/>
    <xf numFmtId="0" fontId="1" fillId="23" borderId="7" applyNumberFormat="0" applyFont="0" applyAlignment="0" applyProtection="0"/>
    <xf numFmtId="0" fontId="3" fillId="7" borderId="0" applyNumberFormat="0" applyBorder="0" applyAlignment="0" applyProtection="0"/>
    <xf numFmtId="0" fontId="7" fillId="75" borderId="2" applyNumberFormat="0" applyAlignment="0" applyProtection="0"/>
    <xf numFmtId="171" fontId="58" fillId="0" borderId="0"/>
    <xf numFmtId="0" fontId="3" fillId="9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6" fillId="47" borderId="8" applyNumberFormat="0" applyAlignment="0" applyProtection="0"/>
    <xf numFmtId="0" fontId="4" fillId="6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" fillId="6" borderId="0" applyNumberFormat="0" applyBorder="0" applyAlignment="0" applyProtection="0"/>
    <xf numFmtId="0" fontId="56" fillId="0" borderId="0">
      <alignment vertical="top" wrapText="1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Protection="0">
      <alignment vertical="top" wrapText="1"/>
    </xf>
    <xf numFmtId="0" fontId="15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57" borderId="0" applyNumberFormat="0" applyBorder="0" applyAlignment="0" applyProtection="0"/>
    <xf numFmtId="0" fontId="6" fillId="47" borderId="1" applyNumberFormat="0" applyAlignment="0" applyProtection="0"/>
    <xf numFmtId="0" fontId="3" fillId="58" borderId="0" applyNumberFormat="0" applyBorder="0" applyAlignment="0" applyProtection="0"/>
    <xf numFmtId="0" fontId="1" fillId="0" borderId="0"/>
    <xf numFmtId="0" fontId="4" fillId="68" borderId="0" applyNumberFormat="0" applyBorder="0" applyAlignment="0" applyProtection="0"/>
    <xf numFmtId="0" fontId="3" fillId="66" borderId="0" applyNumberFormat="0" applyBorder="0" applyAlignment="0" applyProtection="0"/>
    <xf numFmtId="0" fontId="5" fillId="58" borderId="0" applyNumberFormat="0" applyBorder="0" applyAlignment="0" applyProtection="0"/>
    <xf numFmtId="43" fontId="3" fillId="0" borderId="0" applyFont="0" applyFill="0" applyBorder="0" applyAlignment="0" applyProtection="0"/>
    <xf numFmtId="0" fontId="20" fillId="0" borderId="0">
      <alignment vertical="top" wrapText="1"/>
    </xf>
    <xf numFmtId="0" fontId="3" fillId="60" borderId="0" applyNumberFormat="0" applyBorder="0" applyAlignment="0" applyProtection="0"/>
    <xf numFmtId="9" fontId="1" fillId="0" borderId="0" applyFill="0" applyBorder="0" applyAlignment="0" applyProtection="0"/>
    <xf numFmtId="0" fontId="3" fillId="0" borderId="0"/>
    <xf numFmtId="0" fontId="3" fillId="0" borderId="0"/>
    <xf numFmtId="0" fontId="16" fillId="20" borderId="8" applyNumberFormat="0" applyAlignment="0" applyProtection="0"/>
    <xf numFmtId="0" fontId="16" fillId="24" borderId="8" applyNumberFormat="0" applyAlignment="0" applyProtection="0"/>
    <xf numFmtId="170" fontId="1" fillId="0" borderId="0" applyFill="0" applyBorder="0" applyAlignment="0" applyProtection="0"/>
    <xf numFmtId="0" fontId="3" fillId="60" borderId="0" applyNumberFormat="0" applyBorder="0" applyAlignment="0" applyProtection="0"/>
    <xf numFmtId="0" fontId="1" fillId="76" borderId="7" applyNumberFormat="0" applyAlignment="0" applyProtection="0"/>
    <xf numFmtId="164" fontId="1" fillId="0" borderId="0" applyFont="0" applyFill="0" applyBorder="0" applyAlignment="0" applyProtection="0"/>
    <xf numFmtId="0" fontId="4" fillId="69" borderId="0" applyNumberFormat="0" applyBorder="0" applyAlignment="0" applyProtection="0"/>
    <xf numFmtId="174" fontId="1" fillId="0" borderId="0" applyFill="0" applyBorder="0" applyAlignment="0" applyProtection="0"/>
    <xf numFmtId="0" fontId="3" fillId="6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1" fillId="23" borderId="7" applyNumberFormat="0" applyFont="0" applyAlignment="0" applyProtection="0"/>
    <xf numFmtId="0" fontId="7" fillId="75" borderId="2" applyNumberFormat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" fillId="47" borderId="8" applyNumberFormat="0" applyAlignment="0" applyProtection="0"/>
    <xf numFmtId="0" fontId="1" fillId="0" borderId="0" applyNumberFormat="0" applyFont="0" applyFill="0" applyBorder="0" applyAlignment="0" applyProtection="0"/>
    <xf numFmtId="0" fontId="3" fillId="6" borderId="0" applyNumberFormat="0" applyBorder="0" applyAlignment="0" applyProtection="0"/>
    <xf numFmtId="0" fontId="56" fillId="0" borderId="0">
      <alignment vertical="top" wrapText="1"/>
    </xf>
    <xf numFmtId="164" fontId="1" fillId="0" borderId="0" applyFont="0" applyFill="0" applyBorder="0" applyAlignment="0" applyProtection="0"/>
    <xf numFmtId="0" fontId="56" fillId="0" borderId="0" applyNumberFormat="0" applyFill="0" applyBorder="0" applyProtection="0">
      <alignment vertical="top" wrapText="1"/>
    </xf>
    <xf numFmtId="0" fontId="15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1" fillId="0" borderId="0"/>
    <xf numFmtId="170" fontId="1" fillId="0" borderId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0" fontId="7" fillId="75" borderId="2" applyNumberFormat="0" applyAlignment="0" applyProtection="0"/>
    <xf numFmtId="0" fontId="6" fillId="47" borderId="1" applyNumberFormat="0" applyAlignment="0" applyProtection="0"/>
    <xf numFmtId="0" fontId="5" fillId="58" borderId="0" applyNumberFormat="0" applyBorder="0" applyAlignment="0" applyProtection="0"/>
    <xf numFmtId="0" fontId="4" fillId="74" borderId="0" applyNumberFormat="0" applyBorder="0" applyAlignment="0" applyProtection="0"/>
    <xf numFmtId="0" fontId="4" fillId="69" borderId="0" applyNumberFormat="0" applyBorder="0" applyAlignment="0" applyProtection="0"/>
    <xf numFmtId="0" fontId="4" fillId="68" borderId="0" applyNumberFormat="0" applyBorder="0" applyAlignment="0" applyProtection="0"/>
    <xf numFmtId="0" fontId="4" fillId="73" borderId="0" applyNumberFormat="0" applyBorder="0" applyAlignment="0" applyProtection="0"/>
    <xf numFmtId="0" fontId="4" fillId="72" borderId="0" applyNumberFormat="0" applyBorder="0" applyAlignment="0" applyProtection="0"/>
    <xf numFmtId="0" fontId="4" fillId="71" borderId="0" applyNumberFormat="0" applyBorder="0" applyAlignment="0" applyProtection="0"/>
    <xf numFmtId="0" fontId="4" fillId="68" borderId="0" applyNumberFormat="0" applyBorder="0" applyAlignment="0" applyProtection="0"/>
    <xf numFmtId="0" fontId="4" fillId="65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3" fillId="66" borderId="0" applyNumberFormat="0" applyBorder="0" applyAlignment="0" applyProtection="0"/>
    <xf numFmtId="0" fontId="3" fillId="63" borderId="0" applyNumberFormat="0" applyBorder="0" applyAlignment="0" applyProtection="0"/>
    <xf numFmtId="0" fontId="3" fillId="60" borderId="0" applyNumberFormat="0" applyBorder="0" applyAlignment="0" applyProtection="0"/>
    <xf numFmtId="0" fontId="3" fillId="65" borderId="0" applyNumberFormat="0" applyBorder="0" applyAlignment="0" applyProtection="0"/>
    <xf numFmtId="0" fontId="3" fillId="64" borderId="0" applyNumberFormat="0" applyBorder="0" applyAlignment="0" applyProtection="0"/>
    <xf numFmtId="0" fontId="3" fillId="63" borderId="0" applyNumberFormat="0" applyBorder="0" applyAlignment="0" applyProtection="0"/>
    <xf numFmtId="0" fontId="3" fillId="60" borderId="0" applyNumberFormat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9" fontId="1" fillId="0" borderId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ill="0" applyBorder="0" applyAlignment="0" applyProtection="0"/>
    <xf numFmtId="0" fontId="3" fillId="7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16" fillId="20" borderId="8" applyNumberFormat="0" applyAlignment="0" applyProtection="0"/>
    <xf numFmtId="9" fontId="1" fillId="0" borderId="0" applyFill="0" applyBorder="0" applyAlignment="0" applyProtection="0"/>
    <xf numFmtId="0" fontId="1" fillId="0" borderId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1" fillId="0" borderId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1" fillId="0" borderId="0"/>
    <xf numFmtId="0" fontId="20" fillId="0" borderId="0">
      <alignment vertical="top" wrapText="1"/>
    </xf>
    <xf numFmtId="0" fontId="7" fillId="21" borderId="2" applyNumberFormat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3" fillId="7" borderId="1" applyNumberFormat="0" applyAlignment="0" applyProtection="0"/>
    <xf numFmtId="0" fontId="3" fillId="3" borderId="0" applyNumberFormat="0" applyBorder="0" applyAlignment="0" applyProtection="0"/>
    <xf numFmtId="171" fontId="58" fillId="0" borderId="0"/>
    <xf numFmtId="0" fontId="16" fillId="20" borderId="8" applyNumberFormat="0" applyAlignment="0" applyProtection="0"/>
    <xf numFmtId="0" fontId="56" fillId="0" borderId="0" applyNumberFormat="0" applyFill="0" applyBorder="0" applyProtection="0">
      <alignment vertical="top" wrapText="1"/>
    </xf>
    <xf numFmtId="9" fontId="3" fillId="0" borderId="0" applyFont="0" applyFill="0" applyBorder="0" applyAlignment="0" applyProtection="0"/>
    <xf numFmtId="0" fontId="56" fillId="0" borderId="0">
      <alignment vertical="top" wrapText="1"/>
    </xf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23" borderId="7" applyNumberFormat="0" applyFont="0" applyAlignment="0" applyProtection="0"/>
    <xf numFmtId="0" fontId="29" fillId="0" borderId="0"/>
    <xf numFmtId="43" fontId="3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3" fillId="10" borderId="0" applyNumberFormat="0" applyBorder="0" applyAlignment="0" applyProtection="0"/>
    <xf numFmtId="0" fontId="1" fillId="0" borderId="0"/>
    <xf numFmtId="0" fontId="3" fillId="58" borderId="0" applyNumberFormat="0" applyBorder="0" applyAlignment="0" applyProtection="0"/>
    <xf numFmtId="0" fontId="1" fillId="0" borderId="0"/>
    <xf numFmtId="0" fontId="16" fillId="24" borderId="8" applyNumberFormat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" fillId="57" borderId="0" applyNumberFormat="0" applyBorder="0" applyAlignment="0" applyProtection="0"/>
    <xf numFmtId="0" fontId="3" fillId="0" borderId="0"/>
    <xf numFmtId="174" fontId="1" fillId="0" borderId="0" applyFill="0" applyBorder="0" applyAlignment="0" applyProtection="0"/>
    <xf numFmtId="170" fontId="1" fillId="0" borderId="0" applyFill="0" applyBorder="0" applyAlignment="0" applyProtection="0"/>
    <xf numFmtId="43" fontId="3" fillId="0" borderId="0" applyFont="0" applyFill="0" applyBorder="0" applyAlignment="0" applyProtection="0"/>
    <xf numFmtId="0" fontId="4" fillId="70" borderId="0" applyNumberFormat="0" applyBorder="0" applyAlignment="0" applyProtection="0"/>
    <xf numFmtId="0" fontId="4" fillId="6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769">
    <xf numFmtId="0" fontId="0" fillId="0" borderId="0" xfId="0"/>
    <xf numFmtId="0" fontId="23" fillId="27" borderId="11" xfId="62" applyFont="1" applyFill="1" applyBorder="1" applyAlignment="1">
      <alignment vertical="center"/>
    </xf>
    <xf numFmtId="0" fontId="23" fillId="28" borderId="11" xfId="62" applyFont="1" applyFill="1" applyBorder="1" applyAlignment="1">
      <alignment horizontal="center" vertical="center" wrapText="1"/>
    </xf>
    <xf numFmtId="0" fontId="20" fillId="27" borderId="11" xfId="62" applyNumberFormat="1" applyFont="1" applyFill="1" applyBorder="1" applyAlignment="1">
      <alignment horizontal="center" vertical="center"/>
    </xf>
    <xf numFmtId="0" fontId="0" fillId="30" borderId="0" xfId="0" applyFill="1"/>
    <xf numFmtId="43" fontId="0" fillId="0" borderId="0" xfId="75" applyFont="1"/>
    <xf numFmtId="0" fontId="31" fillId="34" borderId="11" xfId="77" applyFont="1" applyFill="1" applyBorder="1" applyAlignment="1">
      <alignment horizontal="left" vertical="center" wrapText="1"/>
    </xf>
    <xf numFmtId="0" fontId="31" fillId="34" borderId="11" xfId="77" applyFont="1" applyFill="1" applyBorder="1" applyAlignment="1">
      <alignment horizontal="center" vertical="center" wrapText="1"/>
    </xf>
    <xf numFmtId="0" fontId="0" fillId="0" borderId="0" xfId="0"/>
    <xf numFmtId="0" fontId="31" fillId="33" borderId="0" xfId="77" applyFont="1" applyFill="1" applyBorder="1" applyAlignment="1">
      <alignment horizontal="center" vertical="center" wrapText="1"/>
    </xf>
    <xf numFmtId="0" fontId="31" fillId="33" borderId="11" xfId="77" applyFont="1" applyFill="1" applyBorder="1" applyAlignment="1">
      <alignment horizontal="center" vertical="center" wrapText="1"/>
    </xf>
    <xf numFmtId="0" fontId="31" fillId="33" borderId="11" xfId="77" applyFont="1" applyFill="1" applyBorder="1" applyAlignment="1">
      <alignment horizontal="left" vertical="center" wrapText="1"/>
    </xf>
    <xf numFmtId="0" fontId="33" fillId="34" borderId="11" xfId="77" applyFont="1" applyFill="1" applyBorder="1" applyAlignment="1">
      <alignment horizontal="center" vertical="center" wrapText="1"/>
    </xf>
    <xf numFmtId="0" fontId="0" fillId="0" borderId="0" xfId="0"/>
    <xf numFmtId="0" fontId="0" fillId="29" borderId="0" xfId="0" applyFill="1"/>
    <xf numFmtId="0" fontId="0" fillId="0" borderId="0" xfId="0" applyBorder="1"/>
    <xf numFmtId="0" fontId="33" fillId="34" borderId="11" xfId="77" applyFont="1" applyFill="1" applyBorder="1" applyAlignment="1">
      <alignment horizontal="left" vertical="center" wrapText="1"/>
    </xf>
    <xf numFmtId="0" fontId="33" fillId="33" borderId="11" xfId="77" applyFont="1" applyFill="1" applyBorder="1" applyAlignment="1">
      <alignment horizontal="center" vertical="center" wrapText="1"/>
    </xf>
    <xf numFmtId="0" fontId="33" fillId="33" borderId="11" xfId="77" applyFont="1" applyFill="1" applyBorder="1" applyAlignment="1">
      <alignment horizontal="left" vertical="center" wrapText="1"/>
    </xf>
    <xf numFmtId="0" fontId="0" fillId="0" borderId="11" xfId="0" applyBorder="1"/>
    <xf numFmtId="166" fontId="33" fillId="34" borderId="45" xfId="76" applyNumberFormat="1" applyFont="1" applyFill="1" applyBorder="1" applyAlignment="1">
      <alignment horizontal="center" vertical="center" wrapText="1"/>
    </xf>
    <xf numFmtId="166" fontId="33" fillId="33" borderId="45" xfId="76" applyNumberFormat="1" applyFont="1" applyFill="1" applyBorder="1" applyAlignment="1">
      <alignment horizontal="center" vertical="center" wrapText="1"/>
    </xf>
    <xf numFmtId="166" fontId="31" fillId="33" borderId="45" xfId="76" applyNumberFormat="1" applyFont="1" applyFill="1" applyBorder="1" applyAlignment="1">
      <alignment horizontal="center" vertical="center" wrapText="1"/>
    </xf>
    <xf numFmtId="0" fontId="32" fillId="35" borderId="11" xfId="77" applyFont="1" applyFill="1" applyBorder="1" applyAlignment="1">
      <alignment horizontal="center" vertical="center" wrapText="1"/>
    </xf>
    <xf numFmtId="0" fontId="32" fillId="35" borderId="11" xfId="77" applyFont="1" applyFill="1" applyBorder="1" applyAlignment="1">
      <alignment horizontal="center" vertical="center" wrapText="1"/>
    </xf>
    <xf numFmtId="0" fontId="32" fillId="35" borderId="11" xfId="77" applyFont="1" applyFill="1" applyBorder="1" applyAlignment="1">
      <alignment horizontal="left" vertical="center" wrapText="1"/>
    </xf>
    <xf numFmtId="0" fontId="0" fillId="0" borderId="0" xfId="0"/>
    <xf numFmtId="0" fontId="32" fillId="35" borderId="11" xfId="77" applyFont="1" applyFill="1" applyBorder="1" applyAlignment="1">
      <alignment horizontal="center" vertical="center" wrapText="1"/>
    </xf>
    <xf numFmtId="0" fontId="32" fillId="35" borderId="11" xfId="77" applyFont="1" applyFill="1" applyBorder="1" applyAlignment="1">
      <alignment horizontal="left" vertical="center" wrapText="1"/>
    </xf>
    <xf numFmtId="4" fontId="32" fillId="35" borderId="11" xfId="77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/>
    <xf numFmtId="0" fontId="32" fillId="35" borderId="11" xfId="77" applyFont="1" applyFill="1" applyBorder="1" applyAlignment="1">
      <alignment horizontal="center" vertical="center" wrapText="1"/>
    </xf>
    <xf numFmtId="0" fontId="32" fillId="35" borderId="11" xfId="77" applyFont="1" applyFill="1" applyBorder="1" applyAlignment="1">
      <alignment horizontal="left" vertical="center" wrapText="1"/>
    </xf>
    <xf numFmtId="0" fontId="32" fillId="35" borderId="11" xfId="77" applyFont="1" applyFill="1" applyBorder="1" applyAlignment="1">
      <alignment horizontal="center" vertical="center" wrapText="1"/>
    </xf>
    <xf numFmtId="0" fontId="0" fillId="29" borderId="11" xfId="0" applyFill="1" applyBorder="1"/>
    <xf numFmtId="0" fontId="32" fillId="35" borderId="11" xfId="77" applyFont="1" applyFill="1" applyBorder="1" applyAlignment="1">
      <alignment horizontal="center" vertical="center" wrapText="1"/>
    </xf>
    <xf numFmtId="4" fontId="32" fillId="35" borderId="11" xfId="77" applyNumberFormat="1" applyFont="1" applyFill="1" applyBorder="1" applyAlignment="1">
      <alignment horizontal="center" vertical="center" wrapText="1"/>
    </xf>
    <xf numFmtId="0" fontId="32" fillId="35" borderId="11" xfId="77" applyFont="1" applyFill="1" applyBorder="1" applyAlignment="1">
      <alignment horizontal="center" vertical="center" wrapText="1"/>
    </xf>
    <xf numFmtId="0" fontId="32" fillId="35" borderId="11" xfId="77" applyFont="1" applyFill="1" applyBorder="1" applyAlignment="1">
      <alignment horizontal="left" vertical="center" wrapText="1"/>
    </xf>
    <xf numFmtId="4" fontId="32" fillId="35" borderId="11" xfId="77" applyNumberFormat="1" applyFont="1" applyFill="1" applyBorder="1" applyAlignment="1">
      <alignment horizontal="center" vertical="center" wrapText="1"/>
    </xf>
    <xf numFmtId="0" fontId="0" fillId="0" borderId="0" xfId="0"/>
    <xf numFmtId="0" fontId="32" fillId="35" borderId="11" xfId="77" applyFont="1" applyFill="1" applyBorder="1" applyAlignment="1">
      <alignment horizontal="center" vertical="center" wrapText="1"/>
    </xf>
    <xf numFmtId="0" fontId="32" fillId="35" borderId="11" xfId="77" applyFont="1" applyFill="1" applyBorder="1" applyAlignment="1">
      <alignment horizontal="center" vertical="center" wrapText="1"/>
    </xf>
    <xf numFmtId="0" fontId="32" fillId="35" borderId="11" xfId="77" applyFont="1" applyFill="1" applyBorder="1" applyAlignment="1">
      <alignment horizontal="left" vertical="center" wrapText="1"/>
    </xf>
    <xf numFmtId="0" fontId="0" fillId="0" borderId="0" xfId="0"/>
    <xf numFmtId="0" fontId="0" fillId="36" borderId="0" xfId="0" applyFill="1"/>
    <xf numFmtId="0" fontId="0" fillId="36" borderId="11" xfId="0" applyFill="1" applyBorder="1"/>
    <xf numFmtId="0" fontId="0" fillId="0" borderId="0" xfId="0"/>
    <xf numFmtId="166" fontId="33" fillId="33" borderId="0" xfId="76" applyNumberFormat="1" applyFont="1" applyFill="1" applyBorder="1" applyAlignment="1">
      <alignment horizontal="center" vertical="center" wrapText="1"/>
    </xf>
    <xf numFmtId="0" fontId="0" fillId="0" borderId="0" xfId="0"/>
    <xf numFmtId="0" fontId="32" fillId="35" borderId="0" xfId="77" applyFont="1" applyFill="1" applyBorder="1" applyAlignment="1">
      <alignment horizontal="center" vertical="center" wrapText="1"/>
    </xf>
    <xf numFmtId="0" fontId="32" fillId="35" borderId="0" xfId="77" applyFont="1" applyFill="1" applyBorder="1" applyAlignment="1">
      <alignment horizontal="left" vertical="center" wrapText="1"/>
    </xf>
    <xf numFmtId="0" fontId="32" fillId="37" borderId="11" xfId="77" applyFont="1" applyFill="1" applyBorder="1" applyAlignment="1">
      <alignment horizontal="center" vertical="center" wrapText="1"/>
    </xf>
    <xf numFmtId="0" fontId="32" fillId="37" borderId="11" xfId="77" applyFont="1" applyFill="1" applyBorder="1" applyAlignment="1">
      <alignment horizontal="left" vertical="center" wrapText="1"/>
    </xf>
    <xf numFmtId="165" fontId="0" fillId="0" borderId="11" xfId="0" applyNumberFormat="1" applyBorder="1"/>
    <xf numFmtId="0" fontId="32" fillId="35" borderId="11" xfId="77" applyFont="1" applyFill="1" applyBorder="1" applyAlignment="1">
      <alignment horizontal="left" vertical="center" wrapText="1"/>
    </xf>
    <xf numFmtId="0" fontId="32" fillId="35" borderId="11" xfId="77" applyFont="1" applyFill="1" applyBorder="1" applyAlignment="1">
      <alignment horizontal="center" vertical="center" wrapText="1"/>
    </xf>
    <xf numFmtId="0" fontId="32" fillId="35" borderId="11" xfId="77" applyFont="1" applyFill="1" applyBorder="1" applyAlignment="1">
      <alignment horizontal="center" vertical="center" wrapText="1"/>
    </xf>
    <xf numFmtId="0" fontId="0" fillId="0" borderId="0" xfId="0"/>
    <xf numFmtId="0" fontId="32" fillId="35" borderId="11" xfId="77" applyFont="1" applyFill="1" applyBorder="1" applyAlignment="1">
      <alignment horizontal="center" vertical="center" wrapText="1"/>
    </xf>
    <xf numFmtId="4" fontId="32" fillId="35" borderId="11" xfId="77" applyNumberFormat="1" applyFont="1" applyFill="1" applyBorder="1" applyAlignment="1">
      <alignment horizontal="center" vertical="center" wrapText="1"/>
    </xf>
    <xf numFmtId="0" fontId="32" fillId="35" borderId="0" xfId="77" applyFont="1" applyFill="1" applyBorder="1" applyAlignment="1">
      <alignment horizontal="center" vertical="center" wrapText="1"/>
    </xf>
    <xf numFmtId="0" fontId="32" fillId="35" borderId="0" xfId="77" applyFont="1" applyFill="1" applyBorder="1" applyAlignment="1">
      <alignment horizontal="left" vertical="center" wrapText="1"/>
    </xf>
    <xf numFmtId="0" fontId="37" fillId="0" borderId="0" xfId="0" applyFont="1"/>
    <xf numFmtId="0" fontId="21" fillId="30" borderId="11" xfId="62" applyNumberFormat="1" applyFont="1" applyFill="1" applyBorder="1" applyAlignment="1">
      <alignment horizontal="center" vertical="center" wrapText="1"/>
    </xf>
    <xf numFmtId="0" fontId="26" fillId="30" borderId="11" xfId="62" applyFont="1" applyFill="1" applyBorder="1" applyAlignment="1">
      <alignment vertical="center" wrapText="1"/>
    </xf>
    <xf numFmtId="0" fontId="22" fillId="30" borderId="11" xfId="62" applyFont="1" applyFill="1" applyBorder="1" applyAlignment="1">
      <alignment horizontal="center" vertical="center" wrapText="1"/>
    </xf>
    <xf numFmtId="4" fontId="26" fillId="30" borderId="11" xfId="67" applyNumberFormat="1" applyFont="1" applyFill="1" applyBorder="1" applyAlignment="1">
      <alignment horizontal="center" vertical="center" wrapText="1"/>
    </xf>
    <xf numFmtId="165" fontId="26" fillId="30" borderId="11" xfId="70" applyNumberFormat="1" applyFont="1" applyFill="1" applyBorder="1" applyAlignment="1">
      <alignment horizontal="center" vertical="center"/>
    </xf>
    <xf numFmtId="0" fontId="21" fillId="30" borderId="11" xfId="95" applyNumberFormat="1" applyFont="1" applyFill="1" applyBorder="1" applyAlignment="1">
      <alignment horizontal="center" vertical="center"/>
    </xf>
    <xf numFmtId="0" fontId="21" fillId="0" borderId="11" xfId="62" applyNumberFormat="1" applyFont="1" applyFill="1" applyBorder="1" applyAlignment="1">
      <alignment horizontal="center" vertical="center" wrapText="1"/>
    </xf>
    <xf numFmtId="0" fontId="26" fillId="0" borderId="11" xfId="62" applyFont="1" applyBorder="1" applyAlignment="1">
      <alignment vertical="center" wrapText="1"/>
    </xf>
    <xf numFmtId="0" fontId="22" fillId="0" borderId="11" xfId="62" applyFont="1" applyBorder="1" applyAlignment="1">
      <alignment horizontal="center" vertical="center" wrapText="1"/>
    </xf>
    <xf numFmtId="4" fontId="26" fillId="0" borderId="11" xfId="67" applyNumberFormat="1" applyFont="1" applyBorder="1" applyAlignment="1">
      <alignment horizontal="center" vertical="center" wrapText="1"/>
    </xf>
    <xf numFmtId="165" fontId="26" fillId="0" borderId="11" xfId="70" applyNumberFormat="1" applyFont="1" applyBorder="1" applyAlignment="1">
      <alignment horizontal="center" vertical="center"/>
    </xf>
    <xf numFmtId="165" fontId="26" fillId="0" borderId="11" xfId="7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1" fillId="31" borderId="11" xfId="62" applyNumberFormat="1" applyFont="1" applyFill="1" applyBorder="1" applyAlignment="1">
      <alignment horizontal="center" vertical="center" wrapText="1"/>
    </xf>
    <xf numFmtId="0" fontId="26" fillId="31" borderId="11" xfId="62" applyFont="1" applyFill="1" applyBorder="1" applyAlignment="1">
      <alignment vertical="center" wrapText="1"/>
    </xf>
    <xf numFmtId="0" fontId="22" fillId="31" borderId="11" xfId="62" applyFont="1" applyFill="1" applyBorder="1" applyAlignment="1">
      <alignment horizontal="center" vertical="center" wrapText="1"/>
    </xf>
    <xf numFmtId="4" fontId="26" fillId="31" borderId="11" xfId="67" applyNumberFormat="1" applyFont="1" applyFill="1" applyBorder="1" applyAlignment="1">
      <alignment horizontal="center" vertical="center" wrapText="1"/>
    </xf>
    <xf numFmtId="165" fontId="26" fillId="31" borderId="11" xfId="70" applyNumberFormat="1" applyFont="1" applyFill="1" applyBorder="1" applyAlignment="1">
      <alignment horizontal="center" vertical="center"/>
    </xf>
    <xf numFmtId="0" fontId="21" fillId="29" borderId="11" xfId="62" applyNumberFormat="1" applyFont="1" applyFill="1" applyBorder="1" applyAlignment="1">
      <alignment horizontal="center" vertical="center" wrapText="1"/>
    </xf>
    <xf numFmtId="0" fontId="26" fillId="29" borderId="11" xfId="62" applyFont="1" applyFill="1" applyBorder="1" applyAlignment="1">
      <alignment vertical="center" wrapText="1"/>
    </xf>
    <xf numFmtId="0" fontId="22" fillId="29" borderId="11" xfId="62" applyFont="1" applyFill="1" applyBorder="1" applyAlignment="1">
      <alignment horizontal="center" vertical="center" wrapText="1"/>
    </xf>
    <xf numFmtId="4" fontId="26" fillId="29" borderId="11" xfId="67" applyNumberFormat="1" applyFont="1" applyFill="1" applyBorder="1" applyAlignment="1">
      <alignment horizontal="center" vertical="center" wrapText="1"/>
    </xf>
    <xf numFmtId="165" fontId="26" fillId="29" borderId="11" xfId="70" applyNumberFormat="1" applyFont="1" applyFill="1" applyBorder="1" applyAlignment="1">
      <alignment horizontal="center" vertical="center"/>
    </xf>
    <xf numFmtId="0" fontId="21" fillId="0" borderId="11" xfId="126" applyNumberFormat="1" applyFont="1" applyFill="1" applyBorder="1" applyAlignment="1">
      <alignment horizontal="center" vertical="center" wrapText="1"/>
    </xf>
    <xf numFmtId="0" fontId="26" fillId="0" borderId="11" xfId="130" applyFont="1" applyBorder="1" applyAlignment="1">
      <alignment vertical="center" wrapText="1"/>
    </xf>
    <xf numFmtId="0" fontId="20" fillId="32" borderId="11" xfId="62" applyNumberFormat="1" applyFont="1" applyFill="1" applyBorder="1" applyAlignment="1">
      <alignment horizontal="center" vertical="center"/>
    </xf>
    <xf numFmtId="0" fontId="26" fillId="0" borderId="11" xfId="130" applyFont="1" applyBorder="1" applyAlignment="1">
      <alignment horizontal="left" vertical="center" wrapText="1"/>
    </xf>
    <xf numFmtId="165" fontId="23" fillId="29" borderId="47" xfId="70" applyNumberFormat="1" applyFont="1" applyFill="1" applyBorder="1" applyAlignment="1">
      <alignment horizontal="center" vertical="center" wrapText="1"/>
    </xf>
    <xf numFmtId="0" fontId="26" fillId="25" borderId="11" xfId="122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1" xfId="0" applyBorder="1" applyAlignment="1">
      <alignment horizontal="center" vertical="center" wrapText="1"/>
    </xf>
    <xf numFmtId="2" fontId="39" fillId="0" borderId="11" xfId="0" applyNumberFormat="1" applyFont="1" applyBorder="1"/>
    <xf numFmtId="0" fontId="26" fillId="0" borderId="11" xfId="144" applyFont="1" applyBorder="1" applyAlignment="1">
      <alignment vertical="center" wrapText="1"/>
    </xf>
    <xf numFmtId="0" fontId="26" fillId="0" borderId="11" xfId="137" applyFont="1" applyFill="1" applyBorder="1" applyAlignment="1">
      <alignment horizontal="center" vertical="center"/>
    </xf>
    <xf numFmtId="0" fontId="26" fillId="0" borderId="11" xfId="126" applyFont="1" applyBorder="1" applyAlignment="1">
      <alignment vertical="center" wrapText="1"/>
    </xf>
    <xf numFmtId="0" fontId="26" fillId="0" borderId="11" xfId="122" applyFont="1" applyBorder="1" applyAlignment="1">
      <alignment vertical="center" wrapText="1"/>
    </xf>
    <xf numFmtId="0" fontId="21" fillId="0" borderId="11" xfId="122" applyNumberFormat="1" applyFont="1" applyFill="1" applyBorder="1" applyAlignment="1">
      <alignment horizontal="center" vertical="center" wrapText="1"/>
    </xf>
    <xf numFmtId="165" fontId="35" fillId="39" borderId="11" xfId="70" applyNumberFormat="1" applyFont="1" applyFill="1" applyBorder="1" applyAlignment="1">
      <alignment horizontal="center" vertical="center"/>
    </xf>
    <xf numFmtId="0" fontId="26" fillId="0" borderId="11" xfId="188" applyFont="1" applyBorder="1" applyAlignment="1">
      <alignment vertical="center" wrapText="1"/>
    </xf>
    <xf numFmtId="0" fontId="26" fillId="30" borderId="11" xfId="144" applyFont="1" applyFill="1" applyBorder="1" applyAlignment="1">
      <alignment vertical="center" wrapText="1"/>
    </xf>
    <xf numFmtId="0" fontId="21" fillId="0" borderId="11" xfId="152" applyNumberFormat="1" applyFont="1" applyFill="1" applyBorder="1" applyAlignment="1">
      <alignment horizontal="center" vertical="center"/>
    </xf>
    <xf numFmtId="0" fontId="26" fillId="0" borderId="11" xfId="148" applyFont="1" applyBorder="1" applyAlignment="1">
      <alignment vertical="center" wrapText="1"/>
    </xf>
    <xf numFmtId="0" fontId="26" fillId="0" borderId="11" xfId="159" applyFont="1" applyBorder="1" applyAlignment="1">
      <alignment vertical="center" wrapText="1"/>
    </xf>
    <xf numFmtId="0" fontId="21" fillId="0" borderId="11" xfId="168" applyNumberFormat="1" applyFont="1" applyFill="1" applyBorder="1" applyAlignment="1">
      <alignment horizontal="center" vertical="center"/>
    </xf>
    <xf numFmtId="0" fontId="26" fillId="0" borderId="11" xfId="167" applyFont="1" applyBorder="1" applyAlignment="1">
      <alignment vertical="center" wrapText="1"/>
    </xf>
    <xf numFmtId="0" fontId="21" fillId="0" borderId="11" xfId="181" applyNumberFormat="1" applyFont="1" applyFill="1" applyBorder="1" applyAlignment="1">
      <alignment horizontal="center" vertical="center"/>
    </xf>
    <xf numFmtId="0" fontId="26" fillId="0" borderId="11" xfId="175" applyFont="1" applyBorder="1" applyAlignment="1">
      <alignment vertical="center" wrapText="1"/>
    </xf>
    <xf numFmtId="0" fontId="26" fillId="0" borderId="11" xfId="63" applyFont="1" applyBorder="1" applyAlignment="1">
      <alignment vertical="center" wrapText="1"/>
    </xf>
    <xf numFmtId="0" fontId="22" fillId="0" borderId="11" xfId="62" applyFont="1" applyFill="1" applyBorder="1" applyAlignment="1">
      <alignment horizontal="center" vertical="center"/>
    </xf>
    <xf numFmtId="165" fontId="35" fillId="29" borderId="11" xfId="70" applyNumberFormat="1" applyFont="1" applyFill="1" applyBorder="1" applyAlignment="1">
      <alignment horizontal="center" vertical="center"/>
    </xf>
    <xf numFmtId="0" fontId="21" fillId="32" borderId="11" xfId="62" applyNumberFormat="1" applyFont="1" applyFill="1" applyBorder="1" applyAlignment="1">
      <alignment horizontal="center" vertical="center" wrapText="1"/>
    </xf>
    <xf numFmtId="0" fontId="26" fillId="32" borderId="11" xfId="62" applyFont="1" applyFill="1" applyBorder="1" applyAlignment="1">
      <alignment vertical="center" wrapText="1"/>
    </xf>
    <xf numFmtId="164" fontId="23" fillId="26" borderId="11" xfId="67" applyFont="1" applyFill="1" applyBorder="1" applyAlignment="1">
      <alignment horizontal="center" vertical="center" wrapText="1"/>
    </xf>
    <xf numFmtId="4" fontId="23" fillId="26" borderId="11" xfId="67" applyNumberFormat="1" applyFont="1" applyFill="1" applyBorder="1" applyAlignment="1">
      <alignment horizontal="center" vertical="center" wrapText="1"/>
    </xf>
    <xf numFmtId="165" fontId="23" fillId="26" borderId="11" xfId="70" applyNumberFormat="1" applyFont="1" applyFill="1" applyBorder="1" applyAlignment="1">
      <alignment horizontal="center" vertical="center" wrapText="1"/>
    </xf>
    <xf numFmtId="165" fontId="26" fillId="0" borderId="11" xfId="62" applyNumberFormat="1" applyFont="1" applyBorder="1" applyAlignment="1">
      <alignment horizontal="center" vertical="center" wrapText="1"/>
    </xf>
    <xf numFmtId="165" fontId="36" fillId="31" borderId="11" xfId="70" applyNumberFormat="1" applyFont="1" applyFill="1" applyBorder="1" applyAlignment="1">
      <alignment horizontal="center" vertical="center"/>
    </xf>
    <xf numFmtId="165" fontId="36" fillId="29" borderId="11" xfId="70" applyNumberFormat="1" applyFont="1" applyFill="1" applyBorder="1" applyAlignment="1">
      <alignment horizontal="center" vertical="center"/>
    </xf>
    <xf numFmtId="0" fontId="35" fillId="32" borderId="11" xfId="62" applyFont="1" applyFill="1" applyBorder="1" applyAlignment="1">
      <alignment vertical="center" wrapText="1"/>
    </xf>
    <xf numFmtId="0" fontId="38" fillId="40" borderId="11" xfId="0" applyFont="1" applyFill="1" applyBorder="1"/>
    <xf numFmtId="165" fontId="26" fillId="0" borderId="0" xfId="70" applyNumberFormat="1" applyFont="1" applyFill="1" applyBorder="1" applyAlignment="1">
      <alignment horizontal="center" vertical="center"/>
    </xf>
    <xf numFmtId="165" fontId="35" fillId="29" borderId="0" xfId="70" applyNumberFormat="1" applyFont="1" applyFill="1" applyBorder="1" applyAlignment="1">
      <alignment horizontal="center" vertical="center"/>
    </xf>
    <xf numFmtId="165" fontId="26" fillId="0" borderId="0" xfId="62" applyNumberFormat="1" applyFont="1" applyBorder="1" applyAlignment="1">
      <alignment horizontal="center" vertical="center" wrapText="1"/>
    </xf>
    <xf numFmtId="165" fontId="26" fillId="29" borderId="0" xfId="70" applyNumberFormat="1" applyFont="1" applyFill="1" applyBorder="1" applyAlignment="1">
      <alignment horizontal="center" vertical="center"/>
    </xf>
    <xf numFmtId="165" fontId="23" fillId="29" borderId="0" xfId="70" applyNumberFormat="1" applyFont="1" applyFill="1" applyBorder="1" applyAlignment="1">
      <alignment horizontal="center" vertical="center" wrapText="1"/>
    </xf>
    <xf numFmtId="0" fontId="0" fillId="29" borderId="0" xfId="0" applyFill="1" applyBorder="1"/>
    <xf numFmtId="0" fontId="23" fillId="28" borderId="11" xfId="62" applyNumberFormat="1" applyFont="1" applyFill="1" applyBorder="1" applyAlignment="1">
      <alignment horizontal="center" vertical="center" wrapText="1"/>
    </xf>
    <xf numFmtId="0" fontId="23" fillId="28" borderId="11" xfId="62" applyFont="1" applyFill="1" applyBorder="1" applyAlignment="1">
      <alignment vertical="center"/>
    </xf>
    <xf numFmtId="0" fontId="23" fillId="28" borderId="11" xfId="62" applyFont="1" applyFill="1" applyBorder="1" applyAlignment="1">
      <alignment vertical="center" wrapText="1"/>
    </xf>
    <xf numFmtId="4" fontId="23" fillId="28" borderId="11" xfId="62" applyNumberFormat="1" applyFont="1" applyFill="1" applyBorder="1" applyAlignment="1">
      <alignment vertical="center" wrapText="1"/>
    </xf>
    <xf numFmtId="165" fontId="23" fillId="28" borderId="11" xfId="70" applyNumberFormat="1" applyFont="1" applyFill="1" applyBorder="1" applyAlignment="1">
      <alignment horizontal="center" vertical="center" wrapText="1"/>
    </xf>
    <xf numFmtId="0" fontId="23" fillId="27" borderId="11" xfId="62" applyFont="1" applyFill="1" applyBorder="1" applyAlignment="1">
      <alignment horizontal="center" vertical="center"/>
    </xf>
    <xf numFmtId="0" fontId="23" fillId="32" borderId="11" xfId="62" applyFont="1" applyFill="1" applyBorder="1" applyAlignment="1">
      <alignment horizontal="center" vertical="center"/>
    </xf>
    <xf numFmtId="165" fontId="26" fillId="38" borderId="0" xfId="70" applyNumberFormat="1" applyFont="1" applyFill="1" applyBorder="1" applyAlignment="1">
      <alignment horizontal="center" vertical="center"/>
    </xf>
    <xf numFmtId="165" fontId="26" fillId="38" borderId="11" xfId="70" applyNumberFormat="1" applyFont="1" applyFill="1" applyBorder="1" applyAlignment="1">
      <alignment horizontal="center" vertical="center"/>
    </xf>
    <xf numFmtId="4" fontId="26" fillId="38" borderId="11" xfId="67" applyNumberFormat="1" applyFont="1" applyFill="1" applyBorder="1" applyAlignment="1">
      <alignment horizontal="center" vertical="center" wrapText="1"/>
    </xf>
    <xf numFmtId="0" fontId="26" fillId="38" borderId="11" xfId="137" applyFont="1" applyFill="1" applyBorder="1" applyAlignment="1">
      <alignment horizontal="center" vertical="center"/>
    </xf>
    <xf numFmtId="0" fontId="26" fillId="38" borderId="11" xfId="144" applyFont="1" applyFill="1" applyBorder="1" applyAlignment="1">
      <alignment vertical="center" wrapText="1"/>
    </xf>
    <xf numFmtId="0" fontId="25" fillId="32" borderId="11" xfId="62" applyNumberFormat="1" applyFont="1" applyFill="1" applyBorder="1" applyAlignment="1">
      <alignment horizontal="center" vertical="center" wrapText="1"/>
    </xf>
    <xf numFmtId="0" fontId="23" fillId="26" borderId="29" xfId="200" applyFont="1" applyFill="1" applyBorder="1" applyAlignment="1">
      <alignment horizontal="left" vertical="center"/>
    </xf>
    <xf numFmtId="0" fontId="25" fillId="26" borderId="29" xfId="200" applyNumberFormat="1" applyFont="1" applyFill="1" applyBorder="1" applyAlignment="1">
      <alignment horizontal="center" vertical="center" wrapText="1"/>
    </xf>
    <xf numFmtId="0" fontId="23" fillId="26" borderId="28" xfId="200" applyFont="1" applyFill="1" applyBorder="1" applyAlignment="1">
      <alignment horizontal="center" vertical="center" wrapText="1"/>
    </xf>
    <xf numFmtId="164" fontId="23" fillId="26" borderId="29" xfId="204" applyFont="1" applyFill="1" applyBorder="1" applyAlignment="1">
      <alignment horizontal="center" vertical="center" wrapText="1"/>
    </xf>
    <xf numFmtId="4" fontId="23" fillId="26" borderId="29" xfId="204" applyNumberFormat="1" applyFont="1" applyFill="1" applyBorder="1" applyAlignment="1">
      <alignment horizontal="center" vertical="center" wrapText="1"/>
    </xf>
    <xf numFmtId="165" fontId="23" fillId="26" borderId="30" xfId="207" applyNumberFormat="1" applyFont="1" applyFill="1" applyBorder="1" applyAlignment="1">
      <alignment horizontal="center" vertical="center" wrapText="1"/>
    </xf>
    <xf numFmtId="165" fontId="23" fillId="26" borderId="29" xfId="207" applyNumberFormat="1" applyFont="1" applyFill="1" applyBorder="1" applyAlignment="1">
      <alignment horizontal="center" vertical="center" wrapText="1"/>
    </xf>
    <xf numFmtId="0" fontId="39" fillId="30" borderId="0" xfId="0" applyFont="1" applyFill="1"/>
    <xf numFmtId="0" fontId="2" fillId="0" borderId="0" xfId="214"/>
    <xf numFmtId="0" fontId="2" fillId="0" borderId="51" xfId="190" applyFont="1" applyBorder="1" applyAlignment="1" applyProtection="1">
      <alignment horizontal="center" vertical="center" wrapText="1"/>
      <protection locked="0"/>
    </xf>
    <xf numFmtId="167" fontId="3" fillId="0" borderId="51" xfId="193" applyNumberFormat="1" applyFont="1" applyBorder="1" applyAlignment="1">
      <alignment horizontal="center" vertical="center" wrapText="1"/>
    </xf>
    <xf numFmtId="0" fontId="41" fillId="0" borderId="10" xfId="190" applyFont="1" applyBorder="1" applyAlignment="1" applyProtection="1">
      <alignment vertical="center"/>
      <protection locked="0"/>
    </xf>
    <xf numFmtId="0" fontId="41" fillId="0" borderId="11" xfId="190" applyFont="1" applyBorder="1" applyAlignment="1" applyProtection="1">
      <alignment horizontal="center" vertical="center"/>
      <protection locked="0"/>
    </xf>
    <xf numFmtId="0" fontId="41" fillId="25" borderId="45" xfId="190" applyFont="1" applyFill="1" applyBorder="1" applyAlignment="1" applyProtection="1">
      <alignment vertical="center"/>
      <protection locked="0"/>
    </xf>
    <xf numFmtId="0" fontId="41" fillId="25" borderId="52" xfId="190" applyFont="1" applyFill="1" applyBorder="1" applyAlignment="1" applyProtection="1">
      <alignment vertical="center"/>
      <protection locked="0"/>
    </xf>
    <xf numFmtId="167" fontId="3" fillId="0" borderId="52" xfId="193" applyNumberFormat="1" applyFont="1" applyBorder="1"/>
    <xf numFmtId="0" fontId="42" fillId="25" borderId="10" xfId="190" applyFont="1" applyFill="1" applyBorder="1" applyAlignment="1" applyProtection="1">
      <alignment vertical="center"/>
      <protection locked="0"/>
    </xf>
    <xf numFmtId="0" fontId="42" fillId="25" borderId="45" xfId="190" applyFont="1" applyFill="1" applyBorder="1" applyAlignment="1" applyProtection="1">
      <alignment vertical="center"/>
      <protection locked="0"/>
    </xf>
    <xf numFmtId="10" fontId="42" fillId="25" borderId="52" xfId="219" applyNumberFormat="1" applyFont="1" applyFill="1" applyBorder="1" applyAlignment="1" applyProtection="1">
      <alignment vertical="center"/>
      <protection locked="0"/>
    </xf>
    <xf numFmtId="10" fontId="3" fillId="0" borderId="52" xfId="219" applyNumberFormat="1" applyFont="1" applyBorder="1"/>
    <xf numFmtId="0" fontId="42" fillId="25" borderId="12" xfId="190" applyFont="1" applyFill="1" applyBorder="1" applyAlignment="1" applyProtection="1">
      <alignment vertical="center"/>
      <protection locked="0"/>
    </xf>
    <xf numFmtId="0" fontId="41" fillId="0" borderId="13" xfId="190" applyFont="1" applyBorder="1" applyAlignment="1" applyProtection="1">
      <alignment horizontal="center" vertical="center"/>
      <protection locked="0"/>
    </xf>
    <xf numFmtId="0" fontId="42" fillId="25" borderId="14" xfId="190" applyFont="1" applyFill="1" applyBorder="1" applyAlignment="1" applyProtection="1">
      <alignment vertical="center"/>
      <protection locked="0"/>
    </xf>
    <xf numFmtId="10" fontId="3" fillId="0" borderId="53" xfId="219" applyNumberFormat="1" applyFont="1" applyBorder="1"/>
    <xf numFmtId="0" fontId="42" fillId="0" borderId="15" xfId="190" applyFont="1" applyBorder="1" applyAlignment="1" applyProtection="1">
      <alignment vertical="center"/>
      <protection locked="0"/>
    </xf>
    <xf numFmtId="0" fontId="41" fillId="25" borderId="16" xfId="190" applyFont="1" applyFill="1" applyBorder="1" applyAlignment="1" applyProtection="1">
      <alignment horizontal="center" vertical="center"/>
      <protection locked="0"/>
    </xf>
    <xf numFmtId="10" fontId="41" fillId="0" borderId="16" xfId="219" applyNumberFormat="1" applyFont="1" applyBorder="1" applyAlignment="1" applyProtection="1">
      <alignment horizontal="right" vertical="center"/>
    </xf>
    <xf numFmtId="10" fontId="42" fillId="0" borderId="16" xfId="219" applyNumberFormat="1" applyFont="1" applyBorder="1" applyAlignment="1" applyProtection="1">
      <alignment horizontal="right" vertical="center"/>
    </xf>
    <xf numFmtId="0" fontId="41" fillId="25" borderId="11" xfId="190" applyFont="1" applyFill="1" applyBorder="1" applyAlignment="1" applyProtection="1">
      <alignment horizontal="center" vertical="center"/>
      <protection locked="0"/>
    </xf>
    <xf numFmtId="0" fontId="42" fillId="0" borderId="12" xfId="190" applyFont="1" applyBorder="1" applyAlignment="1" applyProtection="1">
      <alignment vertical="center"/>
      <protection locked="0"/>
    </xf>
    <xf numFmtId="0" fontId="41" fillId="25" borderId="13" xfId="190" applyFont="1" applyFill="1" applyBorder="1" applyAlignment="1" applyProtection="1">
      <alignment horizontal="center" vertical="center"/>
      <protection locked="0"/>
    </xf>
    <xf numFmtId="0" fontId="41" fillId="0" borderId="16" xfId="190" applyFont="1" applyBorder="1" applyAlignment="1" applyProtection="1">
      <alignment horizontal="center" vertical="center"/>
      <protection locked="0"/>
    </xf>
    <xf numFmtId="0" fontId="41" fillId="0" borderId="45" xfId="190" applyFont="1" applyBorder="1" applyAlignment="1" applyProtection="1">
      <alignment vertical="center"/>
      <protection locked="0"/>
    </xf>
    <xf numFmtId="0" fontId="41" fillId="0" borderId="52" xfId="190" applyFont="1" applyBorder="1" applyAlignment="1" applyProtection="1">
      <alignment vertical="center"/>
      <protection locked="0"/>
    </xf>
    <xf numFmtId="0" fontId="42" fillId="0" borderId="10" xfId="190" applyFont="1" applyBorder="1" applyAlignment="1" applyProtection="1">
      <alignment vertical="center"/>
      <protection locked="0"/>
    </xf>
    <xf numFmtId="0" fontId="42" fillId="0" borderId="45" xfId="190" applyFont="1" applyBorder="1" applyAlignment="1" applyProtection="1">
      <alignment vertical="center"/>
      <protection locked="0"/>
    </xf>
    <xf numFmtId="0" fontId="42" fillId="0" borderId="14" xfId="190" applyFont="1" applyBorder="1" applyAlignment="1" applyProtection="1">
      <alignment vertical="center"/>
      <protection locked="0"/>
    </xf>
    <xf numFmtId="10" fontId="42" fillId="0" borderId="53" xfId="219" applyNumberFormat="1" applyFont="1" applyBorder="1" applyAlignment="1" applyProtection="1">
      <alignment vertical="center"/>
    </xf>
    <xf numFmtId="0" fontId="41" fillId="0" borderId="16" xfId="190" applyFont="1" applyBorder="1" applyAlignment="1" applyProtection="1">
      <alignment vertical="center"/>
      <protection locked="0"/>
    </xf>
    <xf numFmtId="0" fontId="42" fillId="25" borderId="15" xfId="190" applyFont="1" applyFill="1" applyBorder="1" applyAlignment="1" applyProtection="1">
      <alignment vertical="center"/>
      <protection locked="0"/>
    </xf>
    <xf numFmtId="10" fontId="41" fillId="0" borderId="16" xfId="219" applyNumberFormat="1" applyFont="1" applyBorder="1" applyAlignment="1" applyProtection="1">
      <alignment vertical="center"/>
    </xf>
    <xf numFmtId="10" fontId="42" fillId="0" borderId="16" xfId="219" applyNumberFormat="1" applyFont="1" applyBorder="1" applyAlignment="1" applyProtection="1">
      <alignment vertical="center"/>
    </xf>
    <xf numFmtId="0" fontId="2" fillId="25" borderId="17" xfId="214" applyFill="1" applyBorder="1"/>
    <xf numFmtId="0" fontId="2" fillId="25" borderId="19" xfId="214" applyFill="1" applyBorder="1"/>
    <xf numFmtId="0" fontId="2" fillId="25" borderId="18" xfId="214" applyFill="1" applyBorder="1"/>
    <xf numFmtId="0" fontId="2" fillId="25" borderId="0" xfId="214" applyFill="1" applyBorder="1"/>
    <xf numFmtId="0" fontId="18" fillId="26" borderId="15" xfId="214" applyFont="1" applyFill="1" applyBorder="1"/>
    <xf numFmtId="0" fontId="2" fillId="26" borderId="16" xfId="214" applyFill="1" applyBorder="1"/>
    <xf numFmtId="10" fontId="18" fillId="26" borderId="15" xfId="214" applyNumberFormat="1" applyFont="1" applyFill="1" applyBorder="1" applyAlignment="1">
      <alignment horizontal="center"/>
    </xf>
    <xf numFmtId="10" fontId="18" fillId="26" borderId="48" xfId="214" applyNumberFormat="1" applyFont="1" applyFill="1" applyBorder="1" applyAlignment="1">
      <alignment horizontal="center"/>
    </xf>
    <xf numFmtId="10" fontId="18" fillId="26" borderId="20" xfId="214" applyNumberFormat="1" applyFont="1" applyFill="1" applyBorder="1" applyAlignment="1">
      <alignment horizontal="center"/>
    </xf>
    <xf numFmtId="0" fontId="2" fillId="25" borderId="17" xfId="214" applyFill="1" applyBorder="1" applyAlignment="1">
      <alignment horizontal="center"/>
    </xf>
    <xf numFmtId="0" fontId="2" fillId="25" borderId="54" xfId="214" applyFill="1" applyBorder="1" applyAlignment="1">
      <alignment horizontal="center"/>
    </xf>
    <xf numFmtId="0" fontId="2" fillId="25" borderId="18" xfId="214" applyFill="1" applyBorder="1" applyAlignment="1">
      <alignment horizontal="center"/>
    </xf>
    <xf numFmtId="10" fontId="2" fillId="25" borderId="55" xfId="221" applyNumberFormat="1" applyFont="1" applyFill="1" applyBorder="1" applyAlignment="1">
      <alignment horizontal="center"/>
    </xf>
    <xf numFmtId="10" fontId="2" fillId="25" borderId="56" xfId="221" applyNumberFormat="1" applyFont="1" applyFill="1" applyBorder="1" applyAlignment="1">
      <alignment horizontal="center"/>
    </xf>
    <xf numFmtId="10" fontId="2" fillId="25" borderId="57" xfId="221" applyNumberFormat="1" applyFont="1" applyFill="1" applyBorder="1" applyAlignment="1">
      <alignment horizontal="center"/>
    </xf>
    <xf numFmtId="0" fontId="2" fillId="0" borderId="57" xfId="214" applyBorder="1"/>
    <xf numFmtId="0" fontId="43" fillId="0" borderId="0" xfId="214" applyFont="1" applyAlignment="1">
      <alignment horizontal="center"/>
    </xf>
    <xf numFmtId="0" fontId="2" fillId="0" borderId="0" xfId="214" applyAlignment="1">
      <alignment horizontal="center"/>
    </xf>
    <xf numFmtId="0" fontId="44" fillId="25" borderId="55" xfId="214" applyFont="1" applyFill="1" applyBorder="1" applyAlignment="1">
      <alignment horizontal="center" vertical="center"/>
    </xf>
    <xf numFmtId="0" fontId="2" fillId="0" borderId="58" xfId="190" applyFont="1" applyBorder="1" applyAlignment="1" applyProtection="1">
      <alignment horizontal="center" vertical="center" wrapText="1"/>
      <protection locked="0"/>
    </xf>
    <xf numFmtId="167" fontId="3" fillId="0" borderId="58" xfId="193" applyNumberFormat="1" applyFont="1" applyBorder="1" applyAlignment="1">
      <alignment horizontal="center" vertical="center" wrapText="1"/>
    </xf>
    <xf numFmtId="0" fontId="2" fillId="0" borderId="21" xfId="214" applyBorder="1"/>
    <xf numFmtId="0" fontId="2" fillId="0" borderId="0" xfId="214" applyFont="1" applyAlignment="1">
      <alignment horizontal="center"/>
    </xf>
    <xf numFmtId="10" fontId="42" fillId="0" borderId="52" xfId="219" applyNumberFormat="1" applyFont="1" applyBorder="1" applyAlignment="1" applyProtection="1">
      <alignment vertical="center"/>
    </xf>
    <xf numFmtId="165" fontId="23" fillId="32" borderId="30" xfId="207" applyNumberFormat="1" applyFont="1" applyFill="1" applyBorder="1" applyAlignment="1">
      <alignment horizontal="center" vertical="center" wrapText="1"/>
    </xf>
    <xf numFmtId="165" fontId="23" fillId="32" borderId="29" xfId="207" applyNumberFormat="1" applyFont="1" applyFill="1" applyBorder="1" applyAlignment="1">
      <alignment horizontal="center" vertical="center" wrapText="1"/>
    </xf>
    <xf numFmtId="4" fontId="23" fillId="32" borderId="29" xfId="204" applyNumberFormat="1" applyFont="1" applyFill="1" applyBorder="1" applyAlignment="1">
      <alignment horizontal="center" vertical="center" wrapText="1"/>
    </xf>
    <xf numFmtId="164" fontId="23" fillId="32" borderId="29" xfId="204" applyFont="1" applyFill="1" applyBorder="1" applyAlignment="1">
      <alignment horizontal="center" vertical="center" wrapText="1"/>
    </xf>
    <xf numFmtId="0" fontId="23" fillId="32" borderId="29" xfId="200" applyFont="1" applyFill="1" applyBorder="1" applyAlignment="1">
      <alignment horizontal="left" vertical="center"/>
    </xf>
    <xf numFmtId="0" fontId="25" fillId="32" borderId="29" xfId="200" applyNumberFormat="1" applyFont="1" applyFill="1" applyBorder="1" applyAlignment="1">
      <alignment horizontal="center" vertical="center" wrapText="1"/>
    </xf>
    <xf numFmtId="0" fontId="23" fillId="32" borderId="28" xfId="200" applyFont="1" applyFill="1" applyBorder="1" applyAlignment="1">
      <alignment horizontal="center" vertical="center" wrapText="1"/>
    </xf>
    <xf numFmtId="165" fontId="23" fillId="32" borderId="11" xfId="70" applyNumberFormat="1" applyFont="1" applyFill="1" applyBorder="1" applyAlignment="1">
      <alignment horizontal="center" vertical="center" wrapText="1"/>
    </xf>
    <xf numFmtId="4" fontId="23" fillId="32" borderId="11" xfId="67" applyNumberFormat="1" applyFont="1" applyFill="1" applyBorder="1" applyAlignment="1">
      <alignment horizontal="center" vertical="center" wrapText="1"/>
    </xf>
    <xf numFmtId="164" fontId="23" fillId="32" borderId="11" xfId="67" applyFont="1" applyFill="1" applyBorder="1" applyAlignment="1">
      <alignment horizontal="center" vertical="center" wrapText="1"/>
    </xf>
    <xf numFmtId="0" fontId="23" fillId="32" borderId="11" xfId="62" applyFont="1" applyFill="1" applyBorder="1" applyAlignment="1">
      <alignment vertical="center"/>
    </xf>
    <xf numFmtId="0" fontId="26" fillId="29" borderId="11" xfId="144" applyFont="1" applyFill="1" applyBorder="1" applyAlignment="1">
      <alignment vertical="center" wrapText="1"/>
    </xf>
    <xf numFmtId="0" fontId="21" fillId="29" borderId="11" xfId="152" applyNumberFormat="1" applyFont="1" applyFill="1" applyBorder="1" applyAlignment="1">
      <alignment horizontal="center" vertical="center"/>
    </xf>
    <xf numFmtId="0" fontId="26" fillId="42" borderId="11" xfId="122" applyFont="1" applyFill="1" applyBorder="1" applyAlignment="1">
      <alignment horizontal="center" vertical="center" wrapText="1"/>
    </xf>
    <xf numFmtId="0" fontId="21" fillId="25" borderId="32" xfId="225" applyNumberFormat="1" applyFont="1" applyFill="1" applyBorder="1" applyAlignment="1">
      <alignment horizontal="center" vertical="center"/>
    </xf>
    <xf numFmtId="0" fontId="23" fillId="28" borderId="11" xfId="215" applyFont="1" applyFill="1" applyBorder="1" applyAlignment="1">
      <alignment horizontal="center" vertical="center" wrapText="1"/>
    </xf>
    <xf numFmtId="0" fontId="25" fillId="28" borderId="11" xfId="215" applyNumberFormat="1" applyFont="1" applyFill="1" applyBorder="1" applyAlignment="1">
      <alignment horizontal="center" vertical="center" wrapText="1"/>
    </xf>
    <xf numFmtId="0" fontId="23" fillId="28" borderId="11" xfId="215" applyFont="1" applyFill="1" applyBorder="1" applyAlignment="1">
      <alignment horizontal="left" vertical="center"/>
    </xf>
    <xf numFmtId="0" fontId="23" fillId="27" borderId="11" xfId="215" applyFont="1" applyFill="1" applyBorder="1" applyAlignment="1">
      <alignment horizontal="center" vertical="center" wrapText="1"/>
    </xf>
    <xf numFmtId="0" fontId="23" fillId="27" borderId="11" xfId="215" applyFont="1" applyFill="1" applyBorder="1" applyAlignment="1">
      <alignment horizontal="left" vertical="center" wrapText="1"/>
    </xf>
    <xf numFmtId="0" fontId="23" fillId="28" borderId="10" xfId="215" applyFont="1" applyFill="1" applyBorder="1" applyAlignment="1">
      <alignment horizontal="center" vertical="center" wrapText="1"/>
    </xf>
    <xf numFmtId="0" fontId="23" fillId="27" borderId="10" xfId="215" applyFont="1" applyFill="1" applyBorder="1" applyAlignment="1">
      <alignment horizontal="center" vertical="center" wrapText="1"/>
    </xf>
    <xf numFmtId="4" fontId="23" fillId="28" borderId="11" xfId="237" applyNumberFormat="1" applyFont="1" applyFill="1" applyBorder="1" applyAlignment="1">
      <alignment horizontal="center" vertical="center" wrapText="1"/>
    </xf>
    <xf numFmtId="4" fontId="23" fillId="27" borderId="11" xfId="237" applyNumberFormat="1" applyFont="1" applyFill="1" applyBorder="1" applyAlignment="1">
      <alignment horizontal="center" vertical="center" wrapText="1"/>
    </xf>
    <xf numFmtId="0" fontId="25" fillId="27" borderId="11" xfId="215" applyNumberFormat="1" applyFont="1" applyFill="1" applyBorder="1" applyAlignment="1">
      <alignment horizontal="center" vertical="center" wrapText="1"/>
    </xf>
    <xf numFmtId="165" fontId="20" fillId="27" borderId="27" xfId="240" applyNumberFormat="1" applyFont="1" applyFill="1" applyBorder="1" applyAlignment="1">
      <alignment horizontal="center" vertical="center"/>
    </xf>
    <xf numFmtId="165" fontId="23" fillId="28" borderId="27" xfId="240" applyNumberFormat="1" applyFont="1" applyFill="1" applyBorder="1" applyAlignment="1">
      <alignment horizontal="center" vertical="center"/>
    </xf>
    <xf numFmtId="165" fontId="23" fillId="28" borderId="11" xfId="240" applyNumberFormat="1" applyFont="1" applyFill="1" applyBorder="1" applyAlignment="1">
      <alignment horizontal="center" vertical="center"/>
    </xf>
    <xf numFmtId="165" fontId="23" fillId="27" borderId="11" xfId="240" applyNumberFormat="1" applyFont="1" applyFill="1" applyBorder="1" applyAlignment="1">
      <alignment horizontal="center" vertical="center" wrapText="1"/>
    </xf>
    <xf numFmtId="0" fontId="35" fillId="32" borderId="11" xfId="122" applyFont="1" applyFill="1" applyBorder="1" applyAlignment="1">
      <alignment horizontal="center" vertical="center" wrapText="1"/>
    </xf>
    <xf numFmtId="165" fontId="26" fillId="30" borderId="0" xfId="70" applyNumberFormat="1" applyFont="1" applyFill="1" applyBorder="1" applyAlignment="1">
      <alignment horizontal="center" vertical="center"/>
    </xf>
    <xf numFmtId="0" fontId="0" fillId="0" borderId="0" xfId="0"/>
    <xf numFmtId="0" fontId="26" fillId="43" borderId="11" xfId="62" applyFont="1" applyFill="1" applyBorder="1" applyAlignment="1">
      <alignment vertical="center" wrapText="1"/>
    </xf>
    <xf numFmtId="0" fontId="31" fillId="44" borderId="11" xfId="77" applyFont="1" applyFill="1" applyBorder="1" applyAlignment="1">
      <alignment horizontal="center" vertical="center" wrapText="1"/>
    </xf>
    <xf numFmtId="0" fontId="32" fillId="45" borderId="11" xfId="77" applyFont="1" applyFill="1" applyBorder="1" applyAlignment="1">
      <alignment horizontal="center" vertical="center" wrapText="1"/>
    </xf>
    <xf numFmtId="49" fontId="49" fillId="47" borderId="63" xfId="46" applyNumberFormat="1" applyFont="1" applyFill="1" applyBorder="1" applyAlignment="1">
      <alignment horizontal="center" vertical="center" wrapText="1"/>
    </xf>
    <xf numFmtId="0" fontId="49" fillId="47" borderId="63" xfId="46" applyFont="1" applyFill="1" applyBorder="1" applyAlignment="1">
      <alignment horizontal="center" vertical="center" wrapText="1"/>
    </xf>
    <xf numFmtId="0" fontId="49" fillId="47" borderId="48" xfId="46" applyFont="1" applyFill="1" applyBorder="1" applyAlignment="1">
      <alignment horizontal="center" vertical="center" wrapText="1"/>
    </xf>
    <xf numFmtId="0" fontId="49" fillId="47" borderId="64" xfId="46" applyFont="1" applyFill="1" applyBorder="1" applyAlignment="1">
      <alignment horizontal="center" vertical="center" wrapText="1"/>
    </xf>
    <xf numFmtId="0" fontId="49" fillId="47" borderId="65" xfId="46" applyFont="1" applyFill="1" applyBorder="1" applyAlignment="1">
      <alignment horizontal="center" vertical="center" wrapText="1"/>
    </xf>
    <xf numFmtId="49" fontId="50" fillId="0" borderId="66" xfId="46" applyNumberFormat="1" applyFont="1" applyFill="1" applyBorder="1" applyAlignment="1">
      <alignment horizontal="center" vertical="center" wrapText="1"/>
    </xf>
    <xf numFmtId="168" fontId="49" fillId="0" borderId="66" xfId="46" applyNumberFormat="1" applyFont="1" applyFill="1" applyBorder="1" applyAlignment="1">
      <alignment vertical="center" wrapText="1"/>
    </xf>
    <xf numFmtId="168" fontId="49" fillId="0" borderId="66" xfId="46" applyNumberFormat="1" applyFont="1" applyFill="1" applyBorder="1" applyAlignment="1">
      <alignment horizontal="center" vertical="center" wrapText="1"/>
    </xf>
    <xf numFmtId="169" fontId="49" fillId="0" borderId="67" xfId="46" applyNumberFormat="1" applyFont="1" applyFill="1" applyBorder="1" applyAlignment="1">
      <alignment horizontal="center" vertical="center" wrapText="1"/>
    </xf>
    <xf numFmtId="0" fontId="49" fillId="0" borderId="68" xfId="46" applyNumberFormat="1" applyFont="1" applyFill="1" applyBorder="1" applyAlignment="1">
      <alignment horizontal="center" vertical="center" wrapText="1"/>
    </xf>
    <xf numFmtId="4" fontId="49" fillId="0" borderId="69" xfId="46" applyNumberFormat="1" applyFont="1" applyFill="1" applyBorder="1" applyAlignment="1">
      <alignment horizontal="center" vertical="center" wrapText="1"/>
    </xf>
    <xf numFmtId="49" fontId="51" fillId="0" borderId="66" xfId="46" applyNumberFormat="1" applyFont="1" applyFill="1" applyBorder="1" applyAlignment="1">
      <alignment horizontal="center" vertical="center" wrapText="1"/>
    </xf>
    <xf numFmtId="168" fontId="52" fillId="0" borderId="66" xfId="46" applyNumberFormat="1" applyFont="1" applyFill="1" applyBorder="1" applyAlignment="1">
      <alignment vertical="center" wrapText="1"/>
    </xf>
    <xf numFmtId="168" fontId="52" fillId="0" borderId="66" xfId="46" applyNumberFormat="1" applyFont="1" applyFill="1" applyBorder="1" applyAlignment="1">
      <alignment horizontal="center" vertical="center" wrapText="1"/>
    </xf>
    <xf numFmtId="169" fontId="52" fillId="0" borderId="67" xfId="46" applyNumberFormat="1" applyFont="1" applyFill="1" applyBorder="1" applyAlignment="1">
      <alignment horizontal="center" vertical="center" wrapText="1"/>
    </xf>
    <xf numFmtId="0" fontId="52" fillId="0" borderId="68" xfId="46" applyNumberFormat="1" applyFont="1" applyFill="1" applyBorder="1" applyAlignment="1">
      <alignment horizontal="center" vertical="center" wrapText="1"/>
    </xf>
    <xf numFmtId="4" fontId="52" fillId="0" borderId="69" xfId="46" applyNumberFormat="1" applyFont="1" applyFill="1" applyBorder="1" applyAlignment="1">
      <alignment horizontal="center" vertical="center" wrapText="1"/>
    </xf>
    <xf numFmtId="4" fontId="52" fillId="0" borderId="67" xfId="46" applyNumberFormat="1" applyFont="1" applyFill="1" applyBorder="1" applyAlignment="1">
      <alignment horizontal="center" vertical="center" wrapText="1"/>
    </xf>
    <xf numFmtId="0" fontId="48" fillId="36" borderId="11" xfId="0" applyFont="1" applyFill="1" applyBorder="1"/>
    <xf numFmtId="2" fontId="0" fillId="0" borderId="0" xfId="0" applyNumberFormat="1"/>
    <xf numFmtId="0" fontId="53" fillId="0" borderId="0" xfId="0" applyFont="1" applyAlignment="1">
      <alignment horizontal="left"/>
    </xf>
    <xf numFmtId="0" fontId="53" fillId="46" borderId="0" xfId="0" applyFont="1" applyFill="1" applyAlignment="1">
      <alignment horizontal="left"/>
    </xf>
    <xf numFmtId="9" fontId="20" fillId="49" borderId="80" xfId="246" applyFont="1" applyFill="1" applyBorder="1" applyAlignment="1">
      <alignment horizontal="center" vertical="center"/>
    </xf>
    <xf numFmtId="44" fontId="20" fillId="49" borderId="81" xfId="76" applyFont="1" applyFill="1" applyBorder="1" applyAlignment="1">
      <alignment horizontal="center" vertical="center"/>
    </xf>
    <xf numFmtId="9" fontId="20" fillId="49" borderId="82" xfId="246" applyFont="1" applyFill="1" applyBorder="1" applyAlignment="1">
      <alignment horizontal="center" vertical="center"/>
    </xf>
    <xf numFmtId="44" fontId="20" fillId="49" borderId="83" xfId="76" applyFont="1" applyFill="1" applyBorder="1" applyAlignment="1">
      <alignment horizontal="center" vertical="center"/>
    </xf>
    <xf numFmtId="9" fontId="20" fillId="49" borderId="84" xfId="246" applyFont="1" applyFill="1" applyBorder="1" applyAlignment="1">
      <alignment horizontal="center" vertical="center"/>
    </xf>
    <xf numFmtId="44" fontId="20" fillId="49" borderId="85" xfId="76" applyFont="1" applyFill="1" applyBorder="1" applyAlignment="1">
      <alignment horizontal="center" vertical="center"/>
    </xf>
    <xf numFmtId="4" fontId="0" fillId="0" borderId="0" xfId="0" applyNumberFormat="1"/>
    <xf numFmtId="0" fontId="23" fillId="32" borderId="15" xfId="0" applyFont="1" applyFill="1" applyBorder="1" applyAlignment="1"/>
    <xf numFmtId="0" fontId="23" fillId="32" borderId="20" xfId="0" applyFont="1" applyFill="1" applyBorder="1" applyAlignment="1"/>
    <xf numFmtId="9" fontId="20" fillId="53" borderId="11" xfId="246" applyFont="1" applyFill="1" applyBorder="1" applyAlignment="1">
      <alignment horizontal="center" vertical="center"/>
    </xf>
    <xf numFmtId="9" fontId="20" fillId="0" borderId="11" xfId="246" applyFont="1" applyBorder="1" applyAlignment="1">
      <alignment horizontal="center" vertical="center"/>
    </xf>
    <xf numFmtId="44" fontId="20" fillId="0" borderId="11" xfId="76" applyFont="1" applyBorder="1" applyAlignment="1">
      <alignment horizontal="center" vertical="center"/>
    </xf>
    <xf numFmtId="9" fontId="20" fillId="29" borderId="11" xfId="246" applyFont="1" applyFill="1" applyBorder="1" applyAlignment="1">
      <alignment horizontal="center" vertical="center"/>
    </xf>
    <xf numFmtId="44" fontId="20" fillId="29" borderId="11" xfId="76" applyFont="1" applyFill="1" applyBorder="1" applyAlignment="1">
      <alignment horizontal="center" vertical="center"/>
    </xf>
    <xf numFmtId="9" fontId="20" fillId="51" borderId="11" xfId="246" applyFont="1" applyFill="1" applyBorder="1" applyAlignment="1">
      <alignment horizontal="center" vertical="center"/>
    </xf>
    <xf numFmtId="44" fontId="20" fillId="51" borderId="11" xfId="76" applyFont="1" applyFill="1" applyBorder="1" applyAlignment="1">
      <alignment horizontal="center" vertical="center"/>
    </xf>
    <xf numFmtId="9" fontId="20" fillId="52" borderId="11" xfId="246" applyFont="1" applyFill="1" applyBorder="1" applyAlignment="1">
      <alignment horizontal="center" vertical="center"/>
    </xf>
    <xf numFmtId="44" fontId="20" fillId="52" borderId="11" xfId="76" applyFont="1" applyFill="1" applyBorder="1" applyAlignment="1">
      <alignment horizontal="center" vertical="center"/>
    </xf>
    <xf numFmtId="9" fontId="20" fillId="0" borderId="11" xfId="246" applyFont="1" applyFill="1" applyBorder="1" applyAlignment="1">
      <alignment horizontal="center" vertical="center"/>
    </xf>
    <xf numFmtId="44" fontId="20" fillId="0" borderId="11" xfId="76" applyFont="1" applyFill="1" applyBorder="1" applyAlignment="1">
      <alignment horizontal="center" vertical="center"/>
    </xf>
    <xf numFmtId="10" fontId="20" fillId="52" borderId="11" xfId="246" applyNumberFormat="1" applyFont="1" applyFill="1" applyBorder="1" applyAlignment="1">
      <alignment horizontal="center" vertical="center"/>
    </xf>
    <xf numFmtId="10" fontId="20" fillId="51" borderId="11" xfId="246" applyNumberFormat="1" applyFont="1" applyFill="1" applyBorder="1" applyAlignment="1">
      <alignment horizontal="center" vertical="center"/>
    </xf>
    <xf numFmtId="10" fontId="20" fillId="29" borderId="11" xfId="246" applyNumberFormat="1" applyFont="1" applyFill="1" applyBorder="1" applyAlignment="1">
      <alignment horizontal="center" vertical="center"/>
    </xf>
    <xf numFmtId="9" fontId="23" fillId="28" borderId="11" xfId="246" applyFont="1" applyFill="1" applyBorder="1" applyAlignment="1">
      <alignment vertical="center"/>
    </xf>
    <xf numFmtId="165" fontId="20" fillId="0" borderId="11" xfId="76" applyNumberFormat="1" applyFont="1" applyFill="1" applyBorder="1" applyAlignment="1">
      <alignment horizontal="center" vertical="center"/>
    </xf>
    <xf numFmtId="165" fontId="20" fillId="52" borderId="11" xfId="76" applyNumberFormat="1" applyFont="1" applyFill="1" applyBorder="1" applyAlignment="1">
      <alignment horizontal="center" vertical="center"/>
    </xf>
    <xf numFmtId="0" fontId="20" fillId="0" borderId="11" xfId="0" applyFont="1" applyFill="1" applyBorder="1"/>
    <xf numFmtId="44" fontId="20" fillId="29" borderId="11" xfId="76" applyFont="1" applyFill="1" applyBorder="1"/>
    <xf numFmtId="0" fontId="23" fillId="0" borderId="11" xfId="0" applyFont="1" applyFill="1" applyBorder="1"/>
    <xf numFmtId="44" fontId="23" fillId="0" borderId="11" xfId="76" applyFont="1" applyFill="1" applyBorder="1"/>
    <xf numFmtId="9" fontId="23" fillId="32" borderId="11" xfId="246" applyFont="1" applyFill="1" applyBorder="1" applyAlignment="1">
      <alignment vertical="center"/>
    </xf>
    <xf numFmtId="165" fontId="20" fillId="51" borderId="11" xfId="76" applyNumberFormat="1" applyFont="1" applyFill="1" applyBorder="1" applyAlignment="1">
      <alignment horizontal="center" vertical="center"/>
    </xf>
    <xf numFmtId="44" fontId="23" fillId="29" borderId="11" xfId="76" applyFont="1" applyFill="1" applyBorder="1"/>
    <xf numFmtId="9" fontId="20" fillId="32" borderId="11" xfId="246" applyFont="1" applyFill="1" applyBorder="1" applyAlignment="1">
      <alignment horizontal="center" vertical="center"/>
    </xf>
    <xf numFmtId="44" fontId="20" fillId="32" borderId="11" xfId="76" applyFont="1" applyFill="1" applyBorder="1" applyAlignment="1">
      <alignment horizontal="center" vertical="center"/>
    </xf>
    <xf numFmtId="4" fontId="23" fillId="29" borderId="11" xfId="75" applyNumberFormat="1" applyFont="1" applyFill="1" applyBorder="1" applyAlignment="1">
      <alignment horizontal="center" vertical="center"/>
    </xf>
    <xf numFmtId="44" fontId="23" fillId="29" borderId="11" xfId="76" applyFont="1" applyFill="1" applyBorder="1" applyAlignment="1">
      <alignment horizontal="center" vertical="center"/>
    </xf>
    <xf numFmtId="9" fontId="54" fillId="0" borderId="11" xfId="246" applyFont="1" applyBorder="1" applyAlignment="1">
      <alignment vertical="center" wrapText="1"/>
    </xf>
    <xf numFmtId="44" fontId="54" fillId="0" borderId="11" xfId="76" applyFont="1" applyBorder="1" applyAlignment="1">
      <alignment vertical="center" wrapText="1"/>
    </xf>
    <xf numFmtId="9" fontId="20" fillId="53" borderId="92" xfId="246" applyFont="1" applyFill="1" applyBorder="1" applyAlignment="1">
      <alignment horizontal="center" vertical="center"/>
    </xf>
    <xf numFmtId="9" fontId="20" fillId="29" borderId="10" xfId="246" applyFont="1" applyFill="1" applyBorder="1" applyAlignment="1">
      <alignment horizontal="center" vertical="center"/>
    </xf>
    <xf numFmtId="44" fontId="20" fillId="51" borderId="27" xfId="76" applyFont="1" applyFill="1" applyBorder="1" applyAlignment="1">
      <alignment horizontal="center" vertical="center"/>
    </xf>
    <xf numFmtId="44" fontId="20" fillId="52" borderId="27" xfId="76" applyFont="1" applyFill="1" applyBorder="1" applyAlignment="1">
      <alignment horizontal="center" vertical="center"/>
    </xf>
    <xf numFmtId="10" fontId="20" fillId="52" borderId="10" xfId="246" applyNumberFormat="1" applyFont="1" applyFill="1" applyBorder="1" applyAlignment="1">
      <alignment horizontal="center" vertical="center"/>
    </xf>
    <xf numFmtId="10" fontId="20" fillId="51" borderId="10" xfId="246" applyNumberFormat="1" applyFont="1" applyFill="1" applyBorder="1" applyAlignment="1">
      <alignment horizontal="center" vertical="center"/>
    </xf>
    <xf numFmtId="10" fontId="20" fillId="29" borderId="10" xfId="246" applyNumberFormat="1" applyFont="1" applyFill="1" applyBorder="1" applyAlignment="1">
      <alignment horizontal="center" vertical="center"/>
    </xf>
    <xf numFmtId="9" fontId="23" fillId="28" borderId="27" xfId="246" applyFont="1" applyFill="1" applyBorder="1" applyAlignment="1">
      <alignment vertical="center"/>
    </xf>
    <xf numFmtId="9" fontId="20" fillId="0" borderId="10" xfId="246" applyFont="1" applyFill="1" applyBorder="1" applyAlignment="1">
      <alignment horizontal="center" vertical="center"/>
    </xf>
    <xf numFmtId="9" fontId="20" fillId="0" borderId="10" xfId="246" applyFont="1" applyBorder="1" applyAlignment="1">
      <alignment horizontal="center" vertical="center"/>
    </xf>
    <xf numFmtId="9" fontId="23" fillId="32" borderId="27" xfId="246" applyFont="1" applyFill="1" applyBorder="1" applyAlignment="1">
      <alignment vertical="center"/>
    </xf>
    <xf numFmtId="44" fontId="20" fillId="29" borderId="27" xfId="76" applyFont="1" applyFill="1" applyBorder="1" applyAlignment="1">
      <alignment horizontal="center" vertical="center"/>
    </xf>
    <xf numFmtId="0" fontId="23" fillId="29" borderId="10" xfId="0" applyFont="1" applyFill="1" applyBorder="1"/>
    <xf numFmtId="44" fontId="20" fillId="32" borderId="27" xfId="76" applyFont="1" applyFill="1" applyBorder="1" applyAlignment="1">
      <alignment horizontal="center" vertical="center"/>
    </xf>
    <xf numFmtId="4" fontId="23" fillId="29" borderId="10" xfId="75" applyNumberFormat="1" applyFont="1" applyFill="1" applyBorder="1" applyAlignment="1">
      <alignment horizontal="center" vertical="center"/>
    </xf>
    <xf numFmtId="9" fontId="54" fillId="0" borderId="10" xfId="246" applyFont="1" applyBorder="1" applyAlignment="1">
      <alignment vertical="center" wrapText="1"/>
    </xf>
    <xf numFmtId="9" fontId="20" fillId="0" borderId="28" xfId="246" applyFont="1" applyBorder="1" applyAlignment="1">
      <alignment horizontal="center" vertical="center"/>
    </xf>
    <xf numFmtId="44" fontId="20" fillId="29" borderId="29" xfId="76" applyFont="1" applyFill="1" applyBorder="1" applyAlignment="1">
      <alignment horizontal="center" vertical="center"/>
    </xf>
    <xf numFmtId="9" fontId="20" fillId="29" borderId="29" xfId="246" applyFont="1" applyFill="1" applyBorder="1" applyAlignment="1">
      <alignment horizontal="center" vertical="center"/>
    </xf>
    <xf numFmtId="9" fontId="20" fillId="52" borderId="29" xfId="246" applyFont="1" applyFill="1" applyBorder="1" applyAlignment="1">
      <alignment horizontal="center" vertical="center"/>
    </xf>
    <xf numFmtId="44" fontId="20" fillId="52" borderId="29" xfId="76" applyFont="1" applyFill="1" applyBorder="1" applyAlignment="1">
      <alignment horizontal="center" vertical="center"/>
    </xf>
    <xf numFmtId="44" fontId="20" fillId="52" borderId="30" xfId="76" applyFont="1" applyFill="1" applyBorder="1" applyAlignment="1">
      <alignment horizontal="center" vertical="center"/>
    </xf>
    <xf numFmtId="0" fontId="26" fillId="29" borderId="11" xfId="122" applyFont="1" applyFill="1" applyBorder="1" applyAlignment="1">
      <alignment horizontal="center" vertical="center" wrapText="1"/>
    </xf>
    <xf numFmtId="9" fontId="23" fillId="49" borderId="94" xfId="246" applyFont="1" applyFill="1" applyBorder="1" applyAlignment="1">
      <alignment horizontal="center" vertical="center"/>
    </xf>
    <xf numFmtId="0" fontId="35" fillId="50" borderId="19" xfId="0" applyFont="1" applyFill="1" applyBorder="1" applyAlignment="1">
      <alignment horizontal="center" vertical="center"/>
    </xf>
    <xf numFmtId="0" fontId="23" fillId="50" borderId="21" xfId="0" applyFont="1" applyFill="1" applyBorder="1" applyAlignment="1">
      <alignment horizontal="center" vertical="center"/>
    </xf>
    <xf numFmtId="44" fontId="20" fillId="49" borderId="95" xfId="76" applyFont="1" applyFill="1" applyBorder="1" applyAlignment="1">
      <alignment horizontal="center" vertical="center"/>
    </xf>
    <xf numFmtId="10" fontId="0" fillId="0" borderId="0" xfId="0" applyNumberFormat="1"/>
    <xf numFmtId="0" fontId="31" fillId="54" borderId="11" xfId="77" applyFont="1" applyFill="1" applyBorder="1" applyAlignment="1">
      <alignment horizontal="center" vertical="center" wrapText="1"/>
    </xf>
    <xf numFmtId="165" fontId="0" fillId="29" borderId="0" xfId="0" applyNumberFormat="1" applyFill="1"/>
    <xf numFmtId="0" fontId="32" fillId="55" borderId="11" xfId="77" applyFont="1" applyFill="1" applyBorder="1" applyAlignment="1">
      <alignment horizontal="left" vertical="center" wrapText="1"/>
    </xf>
    <xf numFmtId="165" fontId="0" fillId="29" borderId="11" xfId="0" applyNumberFormat="1" applyFill="1" applyBorder="1"/>
    <xf numFmtId="0" fontId="32" fillId="55" borderId="11" xfId="77" applyFont="1" applyFill="1" applyBorder="1" applyAlignment="1">
      <alignment horizontal="center" vertical="center" wrapText="1"/>
    </xf>
    <xf numFmtId="0" fontId="21" fillId="29" borderId="11" xfId="122" applyNumberFormat="1" applyFont="1" applyFill="1" applyBorder="1" applyAlignment="1">
      <alignment horizontal="center" vertical="center" wrapText="1"/>
    </xf>
    <xf numFmtId="0" fontId="26" fillId="29" borderId="11" xfId="122" applyFont="1" applyFill="1" applyBorder="1" applyAlignment="1">
      <alignment vertical="center" wrapText="1"/>
    </xf>
    <xf numFmtId="0" fontId="21" fillId="29" borderId="11" xfId="126" applyNumberFormat="1" applyFont="1" applyFill="1" applyBorder="1" applyAlignment="1">
      <alignment horizontal="center" vertical="center" wrapText="1"/>
    </xf>
    <xf numFmtId="0" fontId="26" fillId="29" borderId="11" xfId="126" applyFont="1" applyFill="1" applyBorder="1" applyAlignment="1">
      <alignment vertical="center" wrapText="1"/>
    </xf>
    <xf numFmtId="0" fontId="26" fillId="29" borderId="11" xfId="130" applyFont="1" applyFill="1" applyBorder="1" applyAlignment="1">
      <alignment vertical="center" wrapText="1"/>
    </xf>
    <xf numFmtId="0" fontId="26" fillId="29" borderId="11" xfId="137" applyFont="1" applyFill="1" applyBorder="1" applyAlignment="1">
      <alignment horizontal="center" vertical="center"/>
    </xf>
    <xf numFmtId="0" fontId="26" fillId="29" borderId="11" xfId="137" applyFont="1" applyFill="1" applyBorder="1" applyAlignment="1">
      <alignment horizontal="center" vertical="center" wrapText="1"/>
    </xf>
    <xf numFmtId="0" fontId="26" fillId="29" borderId="11" xfId="148" applyFont="1" applyFill="1" applyBorder="1" applyAlignment="1">
      <alignment vertical="center" wrapText="1"/>
    </xf>
    <xf numFmtId="0" fontId="26" fillId="29" borderId="11" xfId="159" applyFont="1" applyFill="1" applyBorder="1" applyAlignment="1">
      <alignment vertical="center" wrapText="1"/>
    </xf>
    <xf numFmtId="0" fontId="21" fillId="29" borderId="11" xfId="168" applyNumberFormat="1" applyFont="1" applyFill="1" applyBorder="1" applyAlignment="1">
      <alignment horizontal="center" vertical="center"/>
    </xf>
    <xf numFmtId="0" fontId="21" fillId="29" borderId="11" xfId="181" applyNumberFormat="1" applyFont="1" applyFill="1" applyBorder="1" applyAlignment="1">
      <alignment horizontal="center" vertical="center"/>
    </xf>
    <xf numFmtId="0" fontId="26" fillId="29" borderId="11" xfId="175" applyFont="1" applyFill="1" applyBorder="1" applyAlignment="1">
      <alignment vertical="center" wrapText="1"/>
    </xf>
    <xf numFmtId="0" fontId="26" fillId="29" borderId="11" xfId="63" applyFont="1" applyFill="1" applyBorder="1" applyAlignment="1">
      <alignment vertical="center" wrapText="1"/>
    </xf>
    <xf numFmtId="0" fontId="22" fillId="29" borderId="11" xfId="62" applyFont="1" applyFill="1" applyBorder="1" applyAlignment="1">
      <alignment horizontal="center" vertical="center"/>
    </xf>
    <xf numFmtId="0" fontId="21" fillId="29" borderId="11" xfId="95" applyNumberFormat="1" applyFont="1" applyFill="1" applyBorder="1" applyAlignment="1">
      <alignment horizontal="center" vertical="center"/>
    </xf>
    <xf numFmtId="0" fontId="26" fillId="29" borderId="11" xfId="130" applyFont="1" applyFill="1" applyBorder="1" applyAlignment="1">
      <alignment horizontal="left" vertical="center" wrapText="1"/>
    </xf>
    <xf numFmtId="0" fontId="21" fillId="29" borderId="32" xfId="225" applyNumberFormat="1" applyFont="1" applyFill="1" applyBorder="1" applyAlignment="1">
      <alignment horizontal="center" vertical="center"/>
    </xf>
    <xf numFmtId="0" fontId="26" fillId="29" borderId="11" xfId="188" applyFont="1" applyFill="1" applyBorder="1" applyAlignment="1">
      <alignment vertical="center" wrapText="1"/>
    </xf>
    <xf numFmtId="0" fontId="0" fillId="0" borderId="0" xfId="0"/>
    <xf numFmtId="9" fontId="20" fillId="53" borderId="88" xfId="246" applyFont="1" applyFill="1" applyBorder="1" applyAlignment="1">
      <alignment horizontal="left" vertical="center"/>
    </xf>
    <xf numFmtId="44" fontId="20" fillId="53" borderId="92" xfId="76" applyFont="1" applyFill="1" applyBorder="1" applyAlignment="1">
      <alignment horizontal="left" vertical="center"/>
    </xf>
    <xf numFmtId="9" fontId="20" fillId="0" borderId="92" xfId="246" applyFont="1" applyBorder="1" applyAlignment="1">
      <alignment horizontal="left" vertical="center"/>
    </xf>
    <xf numFmtId="44" fontId="20" fillId="0" borderId="92" xfId="76" applyFont="1" applyBorder="1" applyAlignment="1">
      <alignment horizontal="left" vertical="center"/>
    </xf>
    <xf numFmtId="44" fontId="20" fillId="29" borderId="92" xfId="76" applyFont="1" applyFill="1" applyBorder="1" applyAlignment="1">
      <alignment horizontal="left" vertical="center"/>
    </xf>
    <xf numFmtId="44" fontId="20" fillId="53" borderId="89" xfId="76" applyFont="1" applyFill="1" applyBorder="1" applyAlignment="1">
      <alignment horizontal="left" vertical="center"/>
    </xf>
    <xf numFmtId="9" fontId="20" fillId="29" borderId="10" xfId="246" applyFont="1" applyFill="1" applyBorder="1" applyAlignment="1">
      <alignment horizontal="left" vertical="center"/>
    </xf>
    <xf numFmtId="44" fontId="20" fillId="29" borderId="11" xfId="76" applyFont="1" applyFill="1" applyBorder="1" applyAlignment="1">
      <alignment horizontal="left" vertical="center"/>
    </xf>
    <xf numFmtId="9" fontId="20" fillId="0" borderId="11" xfId="246" applyFont="1" applyBorder="1" applyAlignment="1">
      <alignment horizontal="left" vertical="center"/>
    </xf>
    <xf numFmtId="44" fontId="20" fillId="0" borderId="11" xfId="76" applyFont="1" applyBorder="1" applyAlignment="1">
      <alignment horizontal="left" vertical="center"/>
    </xf>
    <xf numFmtId="9" fontId="20" fillId="51" borderId="11" xfId="246" applyFont="1" applyFill="1" applyBorder="1" applyAlignment="1">
      <alignment horizontal="left" vertical="center"/>
    </xf>
    <xf numFmtId="44" fontId="20" fillId="51" borderId="11" xfId="76" applyFont="1" applyFill="1" applyBorder="1" applyAlignment="1">
      <alignment horizontal="left" vertical="center"/>
    </xf>
    <xf numFmtId="44" fontId="20" fillId="51" borderId="27" xfId="76" applyFont="1" applyFill="1" applyBorder="1" applyAlignment="1">
      <alignment horizontal="left" vertical="center"/>
    </xf>
    <xf numFmtId="9" fontId="20" fillId="53" borderId="10" xfId="246" applyFont="1" applyFill="1" applyBorder="1" applyAlignment="1">
      <alignment horizontal="left" vertical="center"/>
    </xf>
    <xf numFmtId="44" fontId="20" fillId="53" borderId="11" xfId="76" applyFont="1" applyFill="1" applyBorder="1" applyAlignment="1">
      <alignment horizontal="left" vertical="center"/>
    </xf>
    <xf numFmtId="9" fontId="20" fillId="53" borderId="11" xfId="246" applyFont="1" applyFill="1" applyBorder="1" applyAlignment="1">
      <alignment horizontal="left" vertical="center"/>
    </xf>
    <xf numFmtId="44" fontId="20" fillId="53" borderId="27" xfId="76" applyFont="1" applyFill="1" applyBorder="1" applyAlignment="1">
      <alignment horizontal="left" vertical="center"/>
    </xf>
    <xf numFmtId="9" fontId="20" fillId="51" borderId="10" xfId="246" applyFont="1" applyFill="1" applyBorder="1" applyAlignment="1">
      <alignment horizontal="left" vertical="center"/>
    </xf>
    <xf numFmtId="9" fontId="20" fillId="52" borderId="10" xfId="246" applyFont="1" applyFill="1" applyBorder="1" applyAlignment="1">
      <alignment horizontal="left" vertical="center"/>
    </xf>
    <xf numFmtId="44" fontId="20" fillId="52" borderId="11" xfId="76" applyFont="1" applyFill="1" applyBorder="1" applyAlignment="1">
      <alignment horizontal="left" vertical="center"/>
    </xf>
    <xf numFmtId="9" fontId="20" fillId="52" borderId="11" xfId="246" applyFont="1" applyFill="1" applyBorder="1" applyAlignment="1">
      <alignment horizontal="left" vertical="center"/>
    </xf>
    <xf numFmtId="44" fontId="20" fillId="52" borderId="27" xfId="76" applyFont="1" applyFill="1" applyBorder="1" applyAlignment="1">
      <alignment horizontal="left" vertical="center"/>
    </xf>
    <xf numFmtId="9" fontId="20" fillId="0" borderId="11" xfId="246" applyFont="1" applyFill="1" applyBorder="1" applyAlignment="1">
      <alignment horizontal="left" vertical="center"/>
    </xf>
    <xf numFmtId="44" fontId="20" fillId="0" borderId="11" xfId="76" applyFont="1" applyFill="1" applyBorder="1" applyAlignment="1">
      <alignment horizontal="left" vertical="center"/>
    </xf>
    <xf numFmtId="10" fontId="20" fillId="52" borderId="10" xfId="246" applyNumberFormat="1" applyFont="1" applyFill="1" applyBorder="1" applyAlignment="1">
      <alignment horizontal="left" vertical="center"/>
    </xf>
    <xf numFmtId="10" fontId="20" fillId="52" borderId="11" xfId="246" applyNumberFormat="1" applyFont="1" applyFill="1" applyBorder="1" applyAlignment="1">
      <alignment horizontal="left" vertical="center"/>
    </xf>
    <xf numFmtId="10" fontId="20" fillId="51" borderId="10" xfId="246" applyNumberFormat="1" applyFont="1" applyFill="1" applyBorder="1" applyAlignment="1">
      <alignment horizontal="left" vertical="center"/>
    </xf>
    <xf numFmtId="10" fontId="20" fillId="29" borderId="11" xfId="246" applyNumberFormat="1" applyFont="1" applyFill="1" applyBorder="1" applyAlignment="1">
      <alignment horizontal="left" vertical="center"/>
    </xf>
    <xf numFmtId="10" fontId="20" fillId="51" borderId="11" xfId="246" applyNumberFormat="1" applyFont="1" applyFill="1" applyBorder="1" applyAlignment="1">
      <alignment horizontal="left" vertical="center"/>
    </xf>
    <xf numFmtId="10" fontId="20" fillId="29" borderId="10" xfId="246" applyNumberFormat="1" applyFont="1" applyFill="1" applyBorder="1" applyAlignment="1">
      <alignment horizontal="left" vertical="center"/>
    </xf>
    <xf numFmtId="9" fontId="20" fillId="29" borderId="11" xfId="246" applyFont="1" applyFill="1" applyBorder="1" applyAlignment="1">
      <alignment horizontal="left" vertical="center"/>
    </xf>
    <xf numFmtId="9" fontId="23" fillId="28" borderId="77" xfId="246" applyFont="1" applyFill="1" applyBorder="1" applyAlignment="1">
      <alignment vertical="center"/>
    </xf>
    <xf numFmtId="9" fontId="23" fillId="28" borderId="86" xfId="246" applyFont="1" applyFill="1" applyBorder="1" applyAlignment="1">
      <alignment vertical="center"/>
    </xf>
    <xf numFmtId="9" fontId="23" fillId="28" borderId="78" xfId="246" applyFont="1" applyFill="1" applyBorder="1" applyAlignment="1">
      <alignment vertical="center"/>
    </xf>
    <xf numFmtId="0" fontId="20" fillId="77" borderId="87" xfId="0" applyFont="1" applyFill="1" applyBorder="1" applyAlignment="1">
      <alignment horizontal="center" vertical="center"/>
    </xf>
    <xf numFmtId="0" fontId="20" fillId="77" borderId="72" xfId="0" applyFont="1" applyFill="1" applyBorder="1" applyAlignment="1">
      <alignment horizontal="center" vertical="center"/>
    </xf>
    <xf numFmtId="165" fontId="26" fillId="77" borderId="90" xfId="76" applyNumberFormat="1" applyFont="1" applyFill="1" applyBorder="1" applyAlignment="1">
      <alignment horizontal="center" vertical="center"/>
    </xf>
    <xf numFmtId="165" fontId="26" fillId="77" borderId="75" xfId="76" applyNumberFormat="1" applyFont="1" applyFill="1" applyBorder="1" applyAlignment="1">
      <alignment horizontal="center" vertical="center"/>
    </xf>
    <xf numFmtId="9" fontId="26" fillId="77" borderId="10" xfId="246" applyFont="1" applyFill="1" applyBorder="1" applyAlignment="1">
      <alignment horizontal="center" vertical="center"/>
    </xf>
    <xf numFmtId="165" fontId="26" fillId="77" borderId="27" xfId="76" applyNumberFormat="1" applyFont="1" applyFill="1" applyBorder="1" applyAlignment="1">
      <alignment horizontal="center" vertical="center"/>
    </xf>
    <xf numFmtId="9" fontId="20" fillId="77" borderId="10" xfId="246" applyFont="1" applyFill="1" applyBorder="1" applyAlignment="1">
      <alignment horizontal="center" vertical="center"/>
    </xf>
    <xf numFmtId="10" fontId="20" fillId="77" borderId="78" xfId="246" applyNumberFormat="1" applyFont="1" applyFill="1" applyBorder="1" applyAlignment="1">
      <alignment horizontal="center" vertical="center"/>
    </xf>
    <xf numFmtId="10" fontId="20" fillId="77" borderId="11" xfId="246" applyNumberFormat="1" applyFont="1" applyFill="1" applyBorder="1" applyAlignment="1">
      <alignment horizontal="center" vertical="center"/>
    </xf>
    <xf numFmtId="10" fontId="20" fillId="77" borderId="10" xfId="246" applyNumberFormat="1" applyFont="1" applyFill="1" applyBorder="1" applyAlignment="1">
      <alignment horizontal="center" vertical="center"/>
    </xf>
    <xf numFmtId="9" fontId="20" fillId="77" borderId="28" xfId="246" applyFont="1" applyFill="1" applyBorder="1" applyAlignment="1">
      <alignment horizontal="center" vertical="center"/>
    </xf>
    <xf numFmtId="165" fontId="20" fillId="77" borderId="30" xfId="76" applyNumberFormat="1" applyFont="1" applyFill="1" applyBorder="1" applyAlignment="1">
      <alignment horizontal="center" vertical="center"/>
    </xf>
    <xf numFmtId="10" fontId="20" fillId="77" borderId="10" xfId="246" applyNumberFormat="1" applyFont="1" applyFill="1" applyBorder="1" applyAlignment="1">
      <alignment horizontal="center"/>
    </xf>
    <xf numFmtId="10" fontId="20" fillId="77" borderId="11" xfId="246" applyNumberFormat="1" applyFont="1" applyFill="1" applyBorder="1" applyAlignment="1">
      <alignment horizontal="center"/>
    </xf>
    <xf numFmtId="10" fontId="20" fillId="77" borderId="28" xfId="246" applyNumberFormat="1" applyFont="1" applyFill="1" applyBorder="1" applyAlignment="1">
      <alignment horizontal="center"/>
    </xf>
    <xf numFmtId="10" fontId="20" fillId="77" borderId="29" xfId="246" applyNumberFormat="1" applyFont="1" applyFill="1" applyBorder="1" applyAlignment="1">
      <alignment horizontal="center"/>
    </xf>
    <xf numFmtId="165" fontId="0" fillId="0" borderId="0" xfId="0" applyNumberFormat="1" applyBorder="1"/>
    <xf numFmtId="0" fontId="0" fillId="29" borderId="25" xfId="0" applyFill="1" applyBorder="1"/>
    <xf numFmtId="0" fontId="39" fillId="0" borderId="11" xfId="0" applyFont="1" applyBorder="1" applyAlignment="1">
      <alignment horizontal="center"/>
    </xf>
    <xf numFmtId="0" fontId="39" fillId="0" borderId="88" xfId="0" applyFont="1" applyBorder="1" applyAlignment="1">
      <alignment horizontal="center"/>
    </xf>
    <xf numFmtId="0" fontId="0" fillId="0" borderId="92" xfId="0" applyBorder="1"/>
    <xf numFmtId="0" fontId="0" fillId="0" borderId="89" xfId="0" applyBorder="1"/>
    <xf numFmtId="0" fontId="0" fillId="0" borderId="10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2" fontId="0" fillId="0" borderId="27" xfId="0" applyNumberFormat="1" applyBorder="1"/>
    <xf numFmtId="2" fontId="0" fillId="0" borderId="30" xfId="0" applyNumberFormat="1" applyBorder="1"/>
    <xf numFmtId="2" fontId="0" fillId="29" borderId="11" xfId="0" applyNumberFormat="1" applyFill="1" applyBorder="1"/>
    <xf numFmtId="0" fontId="31" fillId="54" borderId="46" xfId="77" applyFont="1" applyFill="1" applyBorder="1" applyAlignment="1">
      <alignment horizontal="left" vertical="center" wrapText="1"/>
    </xf>
    <xf numFmtId="4" fontId="32" fillId="55" borderId="11" xfId="77" applyNumberFormat="1" applyFont="1" applyFill="1" applyBorder="1" applyAlignment="1">
      <alignment horizontal="center" vertical="center" wrapText="1"/>
    </xf>
    <xf numFmtId="0" fontId="31" fillId="54" borderId="0" xfId="77" applyFont="1" applyFill="1" applyBorder="1" applyAlignment="1">
      <alignment horizontal="center" vertical="center" wrapText="1"/>
    </xf>
    <xf numFmtId="0" fontId="31" fillId="54" borderId="11" xfId="77" applyFont="1" applyFill="1" applyBorder="1" applyAlignment="1">
      <alignment horizontal="left" vertical="center" wrapText="1"/>
    </xf>
    <xf numFmtId="166" fontId="31" fillId="54" borderId="45" xfId="76" applyNumberFormat="1" applyFont="1" applyFill="1" applyBorder="1" applyAlignment="1">
      <alignment horizontal="center" vertical="center" wrapText="1"/>
    </xf>
    <xf numFmtId="166" fontId="66" fillId="33" borderId="45" xfId="76" applyNumberFormat="1" applyFont="1" applyFill="1" applyBorder="1" applyAlignment="1">
      <alignment horizontal="center" vertical="center" wrapText="1"/>
    </xf>
    <xf numFmtId="166" fontId="66" fillId="54" borderId="45" xfId="76" applyNumberFormat="1" applyFont="1" applyFill="1" applyBorder="1" applyAlignment="1">
      <alignment horizontal="center" vertical="center" wrapText="1"/>
    </xf>
    <xf numFmtId="4" fontId="66" fillId="35" borderId="11" xfId="77" applyNumberFormat="1" applyFont="1" applyFill="1" applyBorder="1" applyAlignment="1">
      <alignment horizontal="center" vertical="center" wrapText="1"/>
    </xf>
    <xf numFmtId="9" fontId="20" fillId="77" borderId="10" xfId="246" applyFont="1" applyFill="1" applyBorder="1" applyAlignment="1">
      <alignment horizontal="center" vertical="center"/>
    </xf>
    <xf numFmtId="0" fontId="20" fillId="77" borderId="72" xfId="0" applyFont="1" applyFill="1" applyBorder="1" applyAlignment="1">
      <alignment horizontal="center" vertical="center"/>
    </xf>
    <xf numFmtId="0" fontId="20" fillId="77" borderId="87" xfId="0" applyFont="1" applyFill="1" applyBorder="1" applyAlignment="1">
      <alignment horizontal="center" vertical="center"/>
    </xf>
    <xf numFmtId="165" fontId="26" fillId="77" borderId="90" xfId="76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10" fontId="0" fillId="0" borderId="0" xfId="246" applyNumberFormat="1" applyFont="1"/>
    <xf numFmtId="164" fontId="0" fillId="0" borderId="0" xfId="498" applyFont="1"/>
    <xf numFmtId="0" fontId="39" fillId="0" borderId="11" xfId="0" applyFont="1" applyBorder="1" applyAlignment="1">
      <alignment horizontal="center" vertical="center"/>
    </xf>
    <xf numFmtId="10" fontId="0" fillId="0" borderId="11" xfId="246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vertical="center"/>
    </xf>
    <xf numFmtId="164" fontId="0" fillId="0" borderId="11" xfId="498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39" fillId="49" borderId="0" xfId="0" applyFont="1" applyFill="1" applyBorder="1" applyAlignment="1">
      <alignment horizontal="center"/>
    </xf>
    <xf numFmtId="0" fontId="39" fillId="49" borderId="11" xfId="0" applyFont="1" applyFill="1" applyBorder="1" applyAlignment="1">
      <alignment horizontal="center"/>
    </xf>
    <xf numFmtId="10" fontId="39" fillId="0" borderId="11" xfId="246" applyNumberFormat="1" applyFont="1" applyBorder="1" applyAlignment="1">
      <alignment horizontal="center"/>
    </xf>
    <xf numFmtId="164" fontId="39" fillId="0" borderId="11" xfId="498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/>
    <xf numFmtId="0" fontId="24" fillId="32" borderId="11" xfId="201" applyFont="1" applyFill="1" applyBorder="1" applyAlignment="1">
      <alignment vertical="center"/>
    </xf>
    <xf numFmtId="0" fontId="24" fillId="32" borderId="11" xfId="201" applyNumberFormat="1" applyFont="1" applyFill="1" applyBorder="1" applyAlignment="1">
      <alignment vertical="center"/>
    </xf>
    <xf numFmtId="0" fontId="24" fillId="32" borderId="45" xfId="201" applyFont="1" applyFill="1" applyBorder="1" applyAlignment="1">
      <alignment vertical="center"/>
    </xf>
    <xf numFmtId="0" fontId="24" fillId="32" borderId="86" xfId="201" applyFont="1" applyFill="1" applyBorder="1" applyAlignment="1">
      <alignment vertical="center"/>
    </xf>
    <xf numFmtId="0" fontId="24" fillId="32" borderId="78" xfId="201" applyFont="1" applyFill="1" applyBorder="1" applyAlignment="1">
      <alignment vertical="center"/>
    </xf>
    <xf numFmtId="0" fontId="23" fillId="32" borderId="10" xfId="62" applyFont="1" applyFill="1" applyBorder="1" applyAlignment="1">
      <alignment horizontal="center" vertical="center"/>
    </xf>
    <xf numFmtId="165" fontId="23" fillId="32" borderId="27" xfId="70" applyNumberFormat="1" applyFont="1" applyFill="1" applyBorder="1" applyAlignment="1">
      <alignment horizontal="center" vertical="center" wrapText="1"/>
    </xf>
    <xf numFmtId="0" fontId="26" fillId="29" borderId="10" xfId="122" applyFont="1" applyFill="1" applyBorder="1" applyAlignment="1">
      <alignment horizontal="center" vertical="center" wrapText="1"/>
    </xf>
    <xf numFmtId="165" fontId="26" fillId="29" borderId="27" xfId="70" applyNumberFormat="1" applyFont="1" applyFill="1" applyBorder="1" applyAlignment="1">
      <alignment horizontal="center" vertical="center"/>
    </xf>
    <xf numFmtId="0" fontId="35" fillId="32" borderId="10" xfId="122" applyFont="1" applyFill="1" applyBorder="1" applyAlignment="1">
      <alignment horizontal="center" vertical="center" wrapText="1"/>
    </xf>
    <xf numFmtId="0" fontId="25" fillId="32" borderId="10" xfId="62" applyNumberFormat="1" applyFont="1" applyFill="1" applyBorder="1" applyAlignment="1">
      <alignment horizontal="center" vertical="center" wrapText="1"/>
    </xf>
    <xf numFmtId="165" fontId="23" fillId="26" borderId="27" xfId="70" applyNumberFormat="1" applyFont="1" applyFill="1" applyBorder="1" applyAlignment="1">
      <alignment horizontal="center" vertical="center" wrapText="1"/>
    </xf>
    <xf numFmtId="0" fontId="21" fillId="29" borderId="10" xfId="62" applyNumberFormat="1" applyFont="1" applyFill="1" applyBorder="1" applyAlignment="1">
      <alignment horizontal="center" vertical="center" wrapText="1"/>
    </xf>
    <xf numFmtId="165" fontId="26" fillId="29" borderId="27" xfId="62" applyNumberFormat="1" applyFont="1" applyFill="1" applyBorder="1" applyAlignment="1">
      <alignment horizontal="center" vertical="center" wrapText="1"/>
    </xf>
    <xf numFmtId="0" fontId="21" fillId="32" borderId="10" xfId="62" applyNumberFormat="1" applyFont="1" applyFill="1" applyBorder="1" applyAlignment="1">
      <alignment horizontal="center" vertical="center" wrapText="1"/>
    </xf>
    <xf numFmtId="0" fontId="24" fillId="32" borderId="10" xfId="201" applyFont="1" applyFill="1" applyBorder="1" applyAlignment="1">
      <alignment vertical="center"/>
    </xf>
    <xf numFmtId="165" fontId="24" fillId="32" borderId="27" xfId="213" applyNumberFormat="1" applyFont="1" applyFill="1" applyBorder="1" applyAlignment="1">
      <alignment vertical="center"/>
    </xf>
    <xf numFmtId="14" fontId="0" fillId="0" borderId="15" xfId="0" applyNumberFormat="1" applyBorder="1"/>
    <xf numFmtId="0" fontId="0" fillId="0" borderId="16" xfId="0" applyBorder="1"/>
    <xf numFmtId="0" fontId="0" fillId="0" borderId="20" xfId="0" applyBorder="1"/>
    <xf numFmtId="43" fontId="0" fillId="0" borderId="11" xfId="75" applyFont="1" applyBorder="1"/>
    <xf numFmtId="0" fontId="23" fillId="32" borderId="12" xfId="200" applyFont="1" applyFill="1" applyBorder="1" applyAlignment="1">
      <alignment horizontal="center" vertical="center" wrapText="1"/>
    </xf>
    <xf numFmtId="0" fontId="25" fillId="32" borderId="13" xfId="200" applyNumberFormat="1" applyFont="1" applyFill="1" applyBorder="1" applyAlignment="1">
      <alignment horizontal="center" vertical="center" wrapText="1"/>
    </xf>
    <xf numFmtId="0" fontId="23" fillId="32" borderId="13" xfId="200" applyFont="1" applyFill="1" applyBorder="1" applyAlignment="1">
      <alignment horizontal="left" vertical="center"/>
    </xf>
    <xf numFmtId="164" fontId="23" fillId="32" borderId="13" xfId="204" applyFont="1" applyFill="1" applyBorder="1" applyAlignment="1">
      <alignment horizontal="center" vertical="center" wrapText="1"/>
    </xf>
    <xf numFmtId="4" fontId="23" fillId="32" borderId="13" xfId="204" applyNumberFormat="1" applyFont="1" applyFill="1" applyBorder="1" applyAlignment="1">
      <alignment horizontal="center" vertical="center" wrapText="1"/>
    </xf>
    <xf numFmtId="165" fontId="23" fillId="32" borderId="13" xfId="207" applyNumberFormat="1" applyFont="1" applyFill="1" applyBorder="1" applyAlignment="1">
      <alignment horizontal="center" vertical="center" wrapText="1"/>
    </xf>
    <xf numFmtId="165" fontId="23" fillId="32" borderId="99" xfId="207" applyNumberFormat="1" applyFont="1" applyFill="1" applyBorder="1" applyAlignment="1">
      <alignment horizontal="center" vertical="center" wrapText="1"/>
    </xf>
    <xf numFmtId="43" fontId="0" fillId="0" borderId="11" xfId="0" applyNumberFormat="1" applyBorder="1"/>
    <xf numFmtId="10" fontId="0" fillId="0" borderId="11" xfId="246" applyNumberFormat="1" applyFont="1" applyBorder="1"/>
    <xf numFmtId="0" fontId="0" fillId="0" borderId="88" xfId="0" applyBorder="1"/>
    <xf numFmtId="43" fontId="0" fillId="0" borderId="92" xfId="75" applyFont="1" applyBorder="1"/>
    <xf numFmtId="43" fontId="0" fillId="0" borderId="92" xfId="0" applyNumberFormat="1" applyBorder="1"/>
    <xf numFmtId="10" fontId="0" fillId="0" borderId="92" xfId="246" applyNumberFormat="1" applyFont="1" applyBorder="1"/>
    <xf numFmtId="10" fontId="0" fillId="0" borderId="89" xfId="0" applyNumberFormat="1" applyBorder="1"/>
    <xf numFmtId="10" fontId="0" fillId="0" borderId="27" xfId="0" applyNumberFormat="1" applyBorder="1"/>
    <xf numFmtId="43" fontId="0" fillId="0" borderId="29" xfId="75" applyFont="1" applyBorder="1"/>
    <xf numFmtId="43" fontId="0" fillId="0" borderId="29" xfId="0" applyNumberFormat="1" applyBorder="1"/>
    <xf numFmtId="10" fontId="0" fillId="0" borderId="29" xfId="246" applyNumberFormat="1" applyFont="1" applyBorder="1"/>
    <xf numFmtId="10" fontId="0" fillId="0" borderId="30" xfId="0" applyNumberFormat="1" applyBorder="1"/>
    <xf numFmtId="0" fontId="0" fillId="0" borderId="17" xfId="0" applyBorder="1"/>
    <xf numFmtId="43" fontId="0" fillId="0" borderId="18" xfId="0" applyNumberFormat="1" applyBorder="1"/>
    <xf numFmtId="0" fontId="0" fillId="0" borderId="49" xfId="0" applyBorder="1"/>
    <xf numFmtId="43" fontId="0" fillId="0" borderId="50" xfId="0" applyNumberFormat="1" applyBorder="1"/>
    <xf numFmtId="9" fontId="67" fillId="52" borderId="11" xfId="246" applyFont="1" applyFill="1" applyBorder="1" applyAlignment="1">
      <alignment horizontal="center" vertical="center"/>
    </xf>
    <xf numFmtId="44" fontId="67" fillId="52" borderId="11" xfId="76" applyFont="1" applyFill="1" applyBorder="1" applyAlignment="1">
      <alignment horizontal="center" vertical="center"/>
    </xf>
    <xf numFmtId="9" fontId="67" fillId="29" borderId="11" xfId="246" applyFont="1" applyFill="1" applyBorder="1" applyAlignment="1">
      <alignment horizontal="center" vertical="center"/>
    </xf>
    <xf numFmtId="44" fontId="67" fillId="29" borderId="11" xfId="76" applyFont="1" applyFill="1" applyBorder="1" applyAlignment="1">
      <alignment horizontal="center" vertical="center"/>
    </xf>
    <xf numFmtId="9" fontId="20" fillId="51" borderId="29" xfId="246" applyFont="1" applyFill="1" applyBorder="1" applyAlignment="1">
      <alignment horizontal="center" vertical="center"/>
    </xf>
    <xf numFmtId="44" fontId="20" fillId="51" borderId="30" xfId="76" applyFont="1" applyFill="1" applyBorder="1" applyAlignment="1">
      <alignment horizontal="center" vertical="center"/>
    </xf>
    <xf numFmtId="44" fontId="20" fillId="51" borderId="29" xfId="76" applyFont="1" applyFill="1" applyBorder="1" applyAlignment="1">
      <alignment horizontal="center" vertical="center"/>
    </xf>
    <xf numFmtId="2" fontId="0" fillId="0" borderId="11" xfId="0" applyNumberFormat="1" applyBorder="1"/>
    <xf numFmtId="0" fontId="26" fillId="29" borderId="100" xfId="122" applyFont="1" applyFill="1" applyBorder="1" applyAlignment="1">
      <alignment vertical="center" wrapText="1"/>
    </xf>
    <xf numFmtId="0" fontId="22" fillId="29" borderId="13" xfId="62" applyFont="1" applyFill="1" applyBorder="1" applyAlignment="1">
      <alignment horizontal="center" vertical="center" wrapText="1"/>
    </xf>
    <xf numFmtId="0" fontId="22" fillId="29" borderId="32" xfId="62" applyFont="1" applyFill="1" applyBorder="1" applyAlignment="1">
      <alignment horizontal="center" vertical="center" wrapText="1"/>
    </xf>
    <xf numFmtId="4" fontId="26" fillId="29" borderId="13" xfId="67" applyNumberFormat="1" applyFont="1" applyFill="1" applyBorder="1" applyAlignment="1">
      <alignment horizontal="center" vertical="center" wrapText="1"/>
    </xf>
    <xf numFmtId="4" fontId="26" fillId="29" borderId="32" xfId="67" applyNumberFormat="1" applyFont="1" applyFill="1" applyBorder="1" applyAlignment="1">
      <alignment horizontal="center" vertical="center" wrapText="1"/>
    </xf>
    <xf numFmtId="165" fontId="26" fillId="29" borderId="13" xfId="70" applyNumberFormat="1" applyFont="1" applyFill="1" applyBorder="1" applyAlignment="1">
      <alignment horizontal="center" vertical="center"/>
    </xf>
    <xf numFmtId="165" fontId="26" fillId="29" borderId="32" xfId="70" applyNumberFormat="1" applyFont="1" applyFill="1" applyBorder="1" applyAlignment="1">
      <alignment horizontal="center" vertical="center"/>
    </xf>
    <xf numFmtId="165" fontId="26" fillId="29" borderId="101" xfId="70" applyNumberFormat="1" applyFont="1" applyFill="1" applyBorder="1" applyAlignment="1">
      <alignment horizontal="center" vertical="center"/>
    </xf>
    <xf numFmtId="165" fontId="26" fillId="29" borderId="25" xfId="70" applyNumberFormat="1" applyFont="1" applyFill="1" applyBorder="1" applyAlignment="1">
      <alignment horizontal="center" vertical="center"/>
    </xf>
    <xf numFmtId="165" fontId="26" fillId="29" borderId="102" xfId="70" applyNumberFormat="1" applyFont="1" applyFill="1" applyBorder="1" applyAlignment="1">
      <alignment horizontal="center" vertical="center"/>
    </xf>
    <xf numFmtId="4" fontId="26" fillId="29" borderId="25" xfId="67" applyNumberFormat="1" applyFont="1" applyFill="1" applyBorder="1" applyAlignment="1">
      <alignment horizontal="center" vertical="center" wrapText="1"/>
    </xf>
    <xf numFmtId="4" fontId="26" fillId="29" borderId="102" xfId="67" applyNumberFormat="1" applyFont="1" applyFill="1" applyBorder="1" applyAlignment="1">
      <alignment horizontal="center" vertical="center" wrapText="1"/>
    </xf>
    <xf numFmtId="0" fontId="22" fillId="29" borderId="25" xfId="62" applyFont="1" applyFill="1" applyBorder="1" applyAlignment="1">
      <alignment horizontal="center" vertical="center" wrapText="1"/>
    </xf>
    <xf numFmtId="0" fontId="22" fillId="29" borderId="102" xfId="62" applyFont="1" applyFill="1" applyBorder="1" applyAlignment="1">
      <alignment horizontal="center" vertical="center" wrapText="1"/>
    </xf>
    <xf numFmtId="0" fontId="26" fillId="29" borderId="44" xfId="126" applyFont="1" applyFill="1" applyBorder="1" applyAlignment="1">
      <alignment vertical="center" wrapText="1"/>
    </xf>
    <xf numFmtId="0" fontId="26" fillId="29" borderId="32" xfId="130" applyFont="1" applyFill="1" applyBorder="1" applyAlignment="1">
      <alignment vertical="center" wrapText="1"/>
    </xf>
    <xf numFmtId="0" fontId="21" fillId="29" borderId="13" xfId="122" applyNumberFormat="1" applyFont="1" applyFill="1" applyBorder="1" applyAlignment="1">
      <alignment horizontal="center" vertical="center" wrapText="1"/>
    </xf>
    <xf numFmtId="0" fontId="21" fillId="29" borderId="32" xfId="126" applyNumberFormat="1" applyFont="1" applyFill="1" applyBorder="1" applyAlignment="1">
      <alignment horizontal="center" vertical="center" wrapText="1"/>
    </xf>
    <xf numFmtId="0" fontId="21" fillId="29" borderId="101" xfId="126" applyNumberFormat="1" applyFont="1" applyFill="1" applyBorder="1" applyAlignment="1">
      <alignment horizontal="center" vertical="center" wrapText="1"/>
    </xf>
    <xf numFmtId="0" fontId="26" fillId="29" borderId="13" xfId="122" applyFont="1" applyFill="1" applyBorder="1" applyAlignment="1">
      <alignment horizontal="center" vertical="center" wrapText="1"/>
    </xf>
    <xf numFmtId="0" fontId="26" fillId="29" borderId="32" xfId="122" applyFont="1" applyFill="1" applyBorder="1" applyAlignment="1">
      <alignment horizontal="center" vertical="center" wrapText="1"/>
    </xf>
    <xf numFmtId="0" fontId="26" fillId="29" borderId="25" xfId="122" applyFont="1" applyFill="1" applyBorder="1" applyAlignment="1">
      <alignment horizontal="center" vertical="center" wrapText="1"/>
    </xf>
    <xf numFmtId="0" fontId="26" fillId="29" borderId="102" xfId="122" applyFont="1" applyFill="1" applyBorder="1" applyAlignment="1">
      <alignment horizontal="center" vertical="center" wrapText="1"/>
    </xf>
    <xf numFmtId="0" fontId="26" fillId="29" borderId="44" xfId="122" applyFont="1" applyFill="1" applyBorder="1" applyAlignment="1">
      <alignment horizontal="center" vertical="center" wrapText="1"/>
    </xf>
    <xf numFmtId="0" fontId="21" fillId="29" borderId="102" xfId="126" applyNumberFormat="1" applyFont="1" applyFill="1" applyBorder="1" applyAlignment="1">
      <alignment horizontal="center" vertical="center" wrapText="1"/>
    </xf>
    <xf numFmtId="0" fontId="21" fillId="29" borderId="25" xfId="62" applyNumberFormat="1" applyFont="1" applyFill="1" applyBorder="1" applyAlignment="1">
      <alignment horizontal="center" vertical="center" wrapText="1"/>
    </xf>
    <xf numFmtId="0" fontId="21" fillId="29" borderId="44" xfId="62" applyNumberFormat="1" applyFont="1" applyFill="1" applyBorder="1" applyAlignment="1">
      <alignment horizontal="center" vertical="center" wrapText="1"/>
    </xf>
    <xf numFmtId="0" fontId="21" fillId="29" borderId="101" xfId="152" applyNumberFormat="1" applyFont="1" applyFill="1" applyBorder="1" applyAlignment="1">
      <alignment horizontal="center" vertical="center"/>
    </xf>
    <xf numFmtId="0" fontId="21" fillId="29" borderId="102" xfId="152" applyNumberFormat="1" applyFont="1" applyFill="1" applyBorder="1" applyAlignment="1">
      <alignment horizontal="center" vertical="center"/>
    </xf>
    <xf numFmtId="0" fontId="21" fillId="29" borderId="44" xfId="152" applyNumberFormat="1" applyFont="1" applyFill="1" applyBorder="1" applyAlignment="1">
      <alignment horizontal="center" vertical="center"/>
    </xf>
    <xf numFmtId="0" fontId="26" fillId="29" borderId="101" xfId="122" applyFont="1" applyFill="1" applyBorder="1" applyAlignment="1">
      <alignment horizontal="center" vertical="center" wrapText="1"/>
    </xf>
    <xf numFmtId="0" fontId="21" fillId="29" borderId="101" xfId="168" applyNumberFormat="1" applyFont="1" applyFill="1" applyBorder="1" applyAlignment="1">
      <alignment horizontal="center" vertical="center"/>
    </xf>
    <xf numFmtId="0" fontId="21" fillId="29" borderId="32" xfId="62" applyNumberFormat="1" applyFont="1" applyFill="1" applyBorder="1" applyAlignment="1">
      <alignment horizontal="center" vertical="center" wrapText="1"/>
    </xf>
    <xf numFmtId="0" fontId="21" fillId="29" borderId="101" xfId="62" applyNumberFormat="1" applyFont="1" applyFill="1" applyBorder="1" applyAlignment="1">
      <alignment horizontal="center" vertical="center" wrapText="1"/>
    </xf>
    <xf numFmtId="0" fontId="21" fillId="29" borderId="32" xfId="181" applyNumberFormat="1" applyFont="1" applyFill="1" applyBorder="1" applyAlignment="1">
      <alignment horizontal="center" vertical="center"/>
    </xf>
    <xf numFmtId="0" fontId="21" fillId="29" borderId="100" xfId="62" applyNumberFormat="1" applyFont="1" applyFill="1" applyBorder="1" applyAlignment="1">
      <alignment horizontal="center" vertical="center" wrapText="1"/>
    </xf>
    <xf numFmtId="0" fontId="21" fillId="29" borderId="102" xfId="62" applyNumberFormat="1" applyFont="1" applyFill="1" applyBorder="1" applyAlignment="1">
      <alignment horizontal="center" vertical="center" wrapText="1"/>
    </xf>
    <xf numFmtId="0" fontId="21" fillId="29" borderId="13" xfId="62" applyNumberFormat="1" applyFont="1" applyFill="1" applyBorder="1" applyAlignment="1">
      <alignment horizontal="center" vertical="center" wrapText="1"/>
    </xf>
    <xf numFmtId="0" fontId="21" fillId="29" borderId="103" xfId="62" applyNumberFormat="1" applyFont="1" applyFill="1" applyBorder="1" applyAlignment="1">
      <alignment horizontal="center" vertical="center" wrapText="1"/>
    </xf>
    <xf numFmtId="0" fontId="21" fillId="29" borderId="44" xfId="95" applyNumberFormat="1" applyFont="1" applyFill="1" applyBorder="1" applyAlignment="1">
      <alignment horizontal="center" vertical="center"/>
    </xf>
    <xf numFmtId="0" fontId="21" fillId="29" borderId="100" xfId="126" applyNumberFormat="1" applyFont="1" applyFill="1" applyBorder="1" applyAlignment="1">
      <alignment horizontal="center" vertical="center" wrapText="1"/>
    </xf>
    <xf numFmtId="0" fontId="21" fillId="29" borderId="44" xfId="181" applyNumberFormat="1" applyFont="1" applyFill="1" applyBorder="1" applyAlignment="1">
      <alignment horizontal="center" vertical="center"/>
    </xf>
    <xf numFmtId="0" fontId="21" fillId="29" borderId="44" xfId="126" applyNumberFormat="1" applyFont="1" applyFill="1" applyBorder="1" applyAlignment="1">
      <alignment horizontal="center" vertical="center" wrapText="1"/>
    </xf>
    <xf numFmtId="0" fontId="21" fillId="29" borderId="13" xfId="126" applyNumberFormat="1" applyFont="1" applyFill="1" applyBorder="1" applyAlignment="1">
      <alignment horizontal="center" vertical="center" wrapText="1"/>
    </xf>
    <xf numFmtId="0" fontId="26" fillId="29" borderId="25" xfId="130" applyFont="1" applyFill="1" applyBorder="1" applyAlignment="1">
      <alignment vertical="center" wrapText="1"/>
    </xf>
    <xf numFmtId="0" fontId="26" fillId="29" borderId="100" xfId="130" applyFont="1" applyFill="1" applyBorder="1" applyAlignment="1">
      <alignment vertical="center" wrapText="1"/>
    </xf>
    <xf numFmtId="0" fontId="22" fillId="29" borderId="100" xfId="62" applyFont="1" applyFill="1" applyBorder="1" applyAlignment="1">
      <alignment horizontal="center" vertical="center" wrapText="1"/>
    </xf>
    <xf numFmtId="165" fontId="26" fillId="29" borderId="100" xfId="70" applyNumberFormat="1" applyFont="1" applyFill="1" applyBorder="1" applyAlignment="1">
      <alignment horizontal="center" vertical="center"/>
    </xf>
    <xf numFmtId="0" fontId="26" fillId="29" borderId="102" xfId="130" applyFont="1" applyFill="1" applyBorder="1" applyAlignment="1">
      <alignment horizontal="left" vertical="center" wrapText="1"/>
    </xf>
    <xf numFmtId="165" fontId="26" fillId="29" borderId="44" xfId="70" applyNumberFormat="1" applyFont="1" applyFill="1" applyBorder="1" applyAlignment="1">
      <alignment horizontal="center" vertical="center"/>
    </xf>
    <xf numFmtId="0" fontId="26" fillId="29" borderId="44" xfId="130" applyFont="1" applyFill="1" applyBorder="1" applyAlignment="1">
      <alignment horizontal="left" vertical="center" wrapText="1"/>
    </xf>
    <xf numFmtId="0" fontId="22" fillId="29" borderId="44" xfId="62" applyFont="1" applyFill="1" applyBorder="1" applyAlignment="1">
      <alignment horizontal="center" vertical="center" wrapText="1"/>
    </xf>
    <xf numFmtId="0" fontId="26" fillId="29" borderId="103" xfId="130" applyFont="1" applyFill="1" applyBorder="1" applyAlignment="1">
      <alignment vertical="center" wrapText="1"/>
    </xf>
    <xf numFmtId="0" fontId="26" fillId="29" borderId="13" xfId="130" applyFont="1" applyFill="1" applyBorder="1" applyAlignment="1">
      <alignment vertical="center" wrapText="1"/>
    </xf>
    <xf numFmtId="0" fontId="26" fillId="29" borderId="102" xfId="130" applyFont="1" applyFill="1" applyBorder="1" applyAlignment="1">
      <alignment vertical="center" wrapText="1"/>
    </xf>
    <xf numFmtId="0" fontId="22" fillId="29" borderId="101" xfId="62" applyFont="1" applyFill="1" applyBorder="1" applyAlignment="1">
      <alignment horizontal="center" vertical="center" wrapText="1"/>
    </xf>
    <xf numFmtId="4" fontId="26" fillId="29" borderId="44" xfId="67" applyNumberFormat="1" applyFont="1" applyFill="1" applyBorder="1" applyAlignment="1">
      <alignment horizontal="center" vertical="center" wrapText="1"/>
    </xf>
    <xf numFmtId="4" fontId="26" fillId="29" borderId="100" xfId="67" applyNumberFormat="1" applyFont="1" applyFill="1" applyBorder="1" applyAlignment="1">
      <alignment horizontal="center" vertical="center" wrapText="1"/>
    </xf>
    <xf numFmtId="165" fontId="26" fillId="29" borderId="103" xfId="70" applyNumberFormat="1" applyFont="1" applyFill="1" applyBorder="1" applyAlignment="1">
      <alignment horizontal="center" vertical="center"/>
    </xf>
    <xf numFmtId="0" fontId="26" fillId="29" borderId="25" xfId="62" applyFont="1" applyFill="1" applyBorder="1" applyAlignment="1">
      <alignment vertical="center" wrapText="1"/>
    </xf>
    <xf numFmtId="0" fontId="26" fillId="29" borderId="100" xfId="62" applyFont="1" applyFill="1" applyBorder="1" applyAlignment="1">
      <alignment vertical="center" wrapText="1"/>
    </xf>
    <xf numFmtId="0" fontId="26" fillId="29" borderId="13" xfId="62" applyFont="1" applyFill="1" applyBorder="1" applyAlignment="1">
      <alignment vertical="center" wrapText="1"/>
    </xf>
    <xf numFmtId="0" fontId="26" fillId="29" borderId="102" xfId="62" applyFont="1" applyFill="1" applyBorder="1" applyAlignment="1">
      <alignment vertical="center" wrapText="1"/>
    </xf>
    <xf numFmtId="0" fontId="26" fillId="29" borderId="44" xfId="62" applyFont="1" applyFill="1" applyBorder="1" applyAlignment="1">
      <alignment vertical="center" wrapText="1"/>
    </xf>
    <xf numFmtId="165" fontId="26" fillId="29" borderId="104" xfId="70" applyNumberFormat="1" applyFont="1" applyFill="1" applyBorder="1" applyAlignment="1">
      <alignment horizontal="center" vertical="center"/>
    </xf>
    <xf numFmtId="0" fontId="26" fillId="29" borderId="103" xfId="62" applyFont="1" applyFill="1" applyBorder="1" applyAlignment="1">
      <alignment vertical="center" wrapText="1"/>
    </xf>
    <xf numFmtId="4" fontId="26" fillId="29" borderId="103" xfId="67" applyNumberFormat="1" applyFont="1" applyFill="1" applyBorder="1" applyAlignment="1">
      <alignment horizontal="center" vertical="center" wrapText="1"/>
    </xf>
    <xf numFmtId="165" fontId="26" fillId="29" borderId="100" xfId="62" applyNumberFormat="1" applyFont="1" applyFill="1" applyBorder="1" applyAlignment="1">
      <alignment horizontal="center" vertical="center" wrapText="1"/>
    </xf>
    <xf numFmtId="0" fontId="26" fillId="29" borderId="32" xfId="62" applyFont="1" applyFill="1" applyBorder="1" applyAlignment="1">
      <alignment vertical="center" wrapText="1"/>
    </xf>
    <xf numFmtId="0" fontId="26" fillId="29" borderId="44" xfId="63" applyFont="1" applyFill="1" applyBorder="1" applyAlignment="1">
      <alignment vertical="center" wrapText="1"/>
    </xf>
    <xf numFmtId="0" fontId="26" fillId="29" borderId="103" xfId="63" applyFont="1" applyFill="1" applyBorder="1" applyAlignment="1">
      <alignment vertical="center" wrapText="1"/>
    </xf>
    <xf numFmtId="0" fontId="22" fillId="29" borderId="101" xfId="62" applyFont="1" applyFill="1" applyBorder="1" applyAlignment="1">
      <alignment horizontal="center" vertical="center"/>
    </xf>
    <xf numFmtId="0" fontId="22" fillId="29" borderId="102" xfId="62" applyFont="1" applyFill="1" applyBorder="1" applyAlignment="1">
      <alignment horizontal="center" vertical="center"/>
    </xf>
    <xf numFmtId="0" fontId="22" fillId="29" borderId="44" xfId="62" applyFont="1" applyFill="1" applyBorder="1" applyAlignment="1">
      <alignment horizontal="center" vertical="center"/>
    </xf>
    <xf numFmtId="0" fontId="26" fillId="29" borderId="32" xfId="175" applyFont="1" applyFill="1" applyBorder="1" applyAlignment="1">
      <alignment vertical="center" wrapText="1"/>
    </xf>
    <xf numFmtId="0" fontId="26" fillId="29" borderId="102" xfId="159" applyFont="1" applyFill="1" applyBorder="1" applyAlignment="1">
      <alignment vertical="center" wrapText="1"/>
    </xf>
    <xf numFmtId="0" fontId="26" fillId="29" borderId="44" xfId="159" applyFont="1" applyFill="1" applyBorder="1" applyAlignment="1">
      <alignment vertical="center" wrapText="1"/>
    </xf>
    <xf numFmtId="4" fontId="26" fillId="29" borderId="101" xfId="67" applyNumberFormat="1" applyFont="1" applyFill="1" applyBorder="1" applyAlignment="1">
      <alignment horizontal="center" vertical="center" wrapText="1"/>
    </xf>
    <xf numFmtId="0" fontId="22" fillId="29" borderId="103" xfId="62" applyFont="1" applyFill="1" applyBorder="1" applyAlignment="1">
      <alignment horizontal="center" vertical="center" wrapText="1"/>
    </xf>
    <xf numFmtId="0" fontId="26" fillId="29" borderId="103" xfId="159" applyFont="1" applyFill="1" applyBorder="1" applyAlignment="1">
      <alignment vertical="center" wrapText="1"/>
    </xf>
    <xf numFmtId="0" fontId="26" fillId="29" borderId="102" xfId="148" applyFont="1" applyFill="1" applyBorder="1" applyAlignment="1">
      <alignment vertical="center" wrapText="1"/>
    </xf>
    <xf numFmtId="0" fontId="26" fillId="29" borderId="102" xfId="144" applyFont="1" applyFill="1" applyBorder="1" applyAlignment="1">
      <alignment vertical="center" wrapText="1"/>
    </xf>
    <xf numFmtId="0" fontId="26" fillId="29" borderId="44" xfId="144" applyFont="1" applyFill="1" applyBorder="1" applyAlignment="1">
      <alignment vertical="center" wrapText="1"/>
    </xf>
    <xf numFmtId="0" fontId="26" fillId="29" borderId="103" xfId="144" applyFont="1" applyFill="1" applyBorder="1" applyAlignment="1">
      <alignment vertical="center" wrapText="1"/>
    </xf>
    <xf numFmtId="0" fontId="26" fillId="29" borderId="102" xfId="137" applyFont="1" applyFill="1" applyBorder="1" applyAlignment="1">
      <alignment horizontal="center" vertical="center" wrapText="1"/>
    </xf>
    <xf numFmtId="0" fontId="26" fillId="29" borderId="44" xfId="137" applyFont="1" applyFill="1" applyBorder="1" applyAlignment="1">
      <alignment horizontal="center" vertical="center"/>
    </xf>
    <xf numFmtId="165" fontId="26" fillId="0" borderId="102" xfId="70" applyNumberFormat="1" applyFont="1" applyFill="1" applyBorder="1" applyAlignment="1">
      <alignment horizontal="center" vertical="center"/>
    </xf>
    <xf numFmtId="0" fontId="26" fillId="29" borderId="102" xfId="137" applyFont="1" applyFill="1" applyBorder="1" applyAlignment="1">
      <alignment horizontal="center" vertical="center"/>
    </xf>
    <xf numFmtId="0" fontId="26" fillId="29" borderId="101" xfId="130" applyFont="1" applyFill="1" applyBorder="1" applyAlignment="1">
      <alignment vertical="center" wrapText="1"/>
    </xf>
    <xf numFmtId="0" fontId="24" fillId="28" borderId="36" xfId="200" applyFont="1" applyFill="1" applyBorder="1" applyAlignment="1">
      <alignment horizontal="center" vertical="center"/>
    </xf>
    <xf numFmtId="0" fontId="24" fillId="28" borderId="37" xfId="200" applyFont="1" applyFill="1" applyBorder="1" applyAlignment="1">
      <alignment horizontal="center" vertical="center"/>
    </xf>
    <xf numFmtId="0" fontId="24" fillId="28" borderId="37" xfId="200" applyFont="1" applyFill="1" applyBorder="1" applyAlignment="1">
      <alignment horizontal="left" vertical="center"/>
    </xf>
    <xf numFmtId="165" fontId="28" fillId="28" borderId="33" xfId="207" applyNumberFormat="1" applyFont="1" applyFill="1" applyBorder="1" applyAlignment="1">
      <alignment horizontal="center" vertical="center"/>
    </xf>
    <xf numFmtId="165" fontId="28" fillId="28" borderId="34" xfId="207" applyNumberFormat="1" applyFont="1" applyFill="1" applyBorder="1" applyAlignment="1">
      <alignment horizontal="center" vertical="center"/>
    </xf>
    <xf numFmtId="165" fontId="28" fillId="28" borderId="62" xfId="207" applyNumberFormat="1" applyFont="1" applyFill="1" applyBorder="1" applyAlignment="1">
      <alignment horizontal="center" vertical="center"/>
    </xf>
    <xf numFmtId="0" fontId="23" fillId="32" borderId="17" xfId="200" applyNumberFormat="1" applyFont="1" applyFill="1" applyBorder="1" applyAlignment="1">
      <alignment horizontal="center" vertical="center"/>
    </xf>
    <xf numFmtId="0" fontId="23" fillId="32" borderId="39" xfId="200" applyNumberFormat="1" applyFont="1" applyFill="1" applyBorder="1" applyAlignment="1">
      <alignment horizontal="center" vertical="center"/>
    </xf>
    <xf numFmtId="0" fontId="23" fillId="32" borderId="23" xfId="200" applyNumberFormat="1" applyFont="1" applyFill="1" applyBorder="1" applyAlignment="1">
      <alignment horizontal="center" vertical="center"/>
    </xf>
    <xf numFmtId="0" fontId="23" fillId="32" borderId="24" xfId="200" applyNumberFormat="1" applyFont="1" applyFill="1" applyBorder="1" applyAlignment="1">
      <alignment horizontal="center" vertical="center"/>
    </xf>
    <xf numFmtId="0" fontId="23" fillId="32" borderId="11" xfId="200" applyFont="1" applyFill="1" applyBorder="1" applyAlignment="1">
      <alignment horizontal="left" vertical="center"/>
    </xf>
    <xf numFmtId="4" fontId="21" fillId="32" borderId="11" xfId="204" applyNumberFormat="1" applyFont="1" applyFill="1" applyBorder="1" applyAlignment="1">
      <alignment horizontal="center" vertical="center" wrapText="1"/>
    </xf>
    <xf numFmtId="0" fontId="24" fillId="28" borderId="10" xfId="200" applyFont="1" applyFill="1" applyBorder="1" applyAlignment="1">
      <alignment horizontal="center" vertical="center"/>
    </xf>
    <xf numFmtId="0" fontId="24" fillId="28" borderId="11" xfId="200" applyFont="1" applyFill="1" applyBorder="1" applyAlignment="1">
      <alignment horizontal="center" vertical="center"/>
    </xf>
    <xf numFmtId="0" fontId="24" fillId="28" borderId="11" xfId="200" applyFont="1" applyFill="1" applyBorder="1" applyAlignment="1">
      <alignment horizontal="left" vertical="center" wrapText="1"/>
    </xf>
    <xf numFmtId="0" fontId="24" fillId="28" borderId="40" xfId="200" applyFont="1" applyFill="1" applyBorder="1" applyAlignment="1">
      <alignment horizontal="center" vertical="center"/>
    </xf>
    <xf numFmtId="0" fontId="24" fillId="28" borderId="41" xfId="200" applyFont="1" applyFill="1" applyBorder="1" applyAlignment="1">
      <alignment horizontal="center" vertical="center"/>
    </xf>
    <xf numFmtId="0" fontId="24" fillId="28" borderId="44" xfId="200" applyFont="1" applyFill="1" applyBorder="1" applyAlignment="1">
      <alignment horizontal="left" vertical="center"/>
    </xf>
    <xf numFmtId="0" fontId="24" fillId="32" borderId="11" xfId="201" applyFont="1" applyFill="1" applyBorder="1" applyAlignment="1">
      <alignment horizontal="center" vertical="center"/>
    </xf>
    <xf numFmtId="0" fontId="24" fillId="32" borderId="11" xfId="201" applyNumberFormat="1" applyFont="1" applyFill="1" applyBorder="1" applyAlignment="1">
      <alignment horizontal="center" vertical="center"/>
    </xf>
    <xf numFmtId="165" fontId="24" fillId="32" borderId="11" xfId="213" applyNumberFormat="1" applyFont="1" applyFill="1" applyBorder="1" applyAlignment="1">
      <alignment horizontal="center" vertical="center"/>
    </xf>
    <xf numFmtId="10" fontId="24" fillId="32" borderId="11" xfId="209" applyNumberFormat="1" applyFont="1" applyFill="1" applyBorder="1" applyAlignment="1">
      <alignment horizontal="center" vertical="center"/>
    </xf>
    <xf numFmtId="0" fontId="28" fillId="48" borderId="70" xfId="0" applyFont="1" applyFill="1" applyBorder="1" applyAlignment="1">
      <alignment horizontal="center" vertical="center"/>
    </xf>
    <xf numFmtId="0" fontId="28" fillId="48" borderId="71" xfId="0" applyFont="1" applyFill="1" applyBorder="1" applyAlignment="1">
      <alignment horizontal="center" vertical="center"/>
    </xf>
    <xf numFmtId="0" fontId="28" fillId="48" borderId="72" xfId="0" applyFont="1" applyFill="1" applyBorder="1" applyAlignment="1">
      <alignment horizontal="center" vertical="center"/>
    </xf>
    <xf numFmtId="0" fontId="28" fillId="48" borderId="73" xfId="0" applyFont="1" applyFill="1" applyBorder="1" applyAlignment="1">
      <alignment horizontal="center" vertical="center"/>
    </xf>
    <xf numFmtId="0" fontId="28" fillId="48" borderId="74" xfId="0" applyFont="1" applyFill="1" applyBorder="1" applyAlignment="1">
      <alignment horizontal="center" vertical="center"/>
    </xf>
    <xf numFmtId="0" fontId="28" fillId="48" borderId="75" xfId="0" applyFont="1" applyFill="1" applyBorder="1" applyAlignment="1">
      <alignment horizontal="center" vertical="center"/>
    </xf>
    <xf numFmtId="9" fontId="23" fillId="49" borderId="64" xfId="246" applyFont="1" applyFill="1" applyBorder="1" applyAlignment="1">
      <alignment horizontal="center" vertical="center"/>
    </xf>
    <xf numFmtId="9" fontId="23" fillId="49" borderId="76" xfId="246" applyFont="1" applyFill="1" applyBorder="1" applyAlignment="1">
      <alignment horizontal="center" vertical="center"/>
    </xf>
    <xf numFmtId="0" fontId="23" fillId="49" borderId="64" xfId="0" applyFont="1" applyFill="1" applyBorder="1" applyAlignment="1">
      <alignment horizontal="center" vertical="center" wrapText="1"/>
    </xf>
    <xf numFmtId="0" fontId="23" fillId="49" borderId="65" xfId="0" applyFont="1" applyFill="1" applyBorder="1" applyAlignment="1">
      <alignment horizontal="center" vertical="center" wrapText="1"/>
    </xf>
    <xf numFmtId="4" fontId="21" fillId="32" borderId="27" xfId="204" applyNumberFormat="1" applyFont="1" applyFill="1" applyBorder="1" applyAlignment="1">
      <alignment horizontal="center" vertical="center" wrapText="1"/>
    </xf>
    <xf numFmtId="0" fontId="35" fillId="50" borderId="70" xfId="0" applyFont="1" applyFill="1" applyBorder="1" applyAlignment="1">
      <alignment horizontal="center" vertical="center"/>
    </xf>
    <xf numFmtId="0" fontId="35" fillId="50" borderId="71" xfId="0" applyFont="1" applyFill="1" applyBorder="1" applyAlignment="1">
      <alignment horizontal="center" vertical="center"/>
    </xf>
    <xf numFmtId="0" fontId="35" fillId="50" borderId="72" xfId="0" applyFont="1" applyFill="1" applyBorder="1" applyAlignment="1">
      <alignment horizontal="center" vertical="center"/>
    </xf>
    <xf numFmtId="0" fontId="26" fillId="50" borderId="17" xfId="0" applyFont="1" applyFill="1" applyBorder="1" applyAlignment="1">
      <alignment horizontal="center"/>
    </xf>
    <xf numFmtId="0" fontId="26" fillId="50" borderId="18" xfId="0" applyFont="1" applyFill="1" applyBorder="1" applyAlignment="1">
      <alignment horizontal="center"/>
    </xf>
    <xf numFmtId="0" fontId="26" fillId="50" borderId="23" xfId="0" applyFont="1" applyFill="1" applyBorder="1" applyAlignment="1">
      <alignment horizontal="center"/>
    </xf>
    <xf numFmtId="0" fontId="26" fillId="50" borderId="59" xfId="0" applyFont="1" applyFill="1" applyBorder="1" applyAlignment="1">
      <alignment horizontal="center"/>
    </xf>
    <xf numFmtId="0" fontId="23" fillId="50" borderId="77" xfId="0" applyFont="1" applyFill="1" applyBorder="1" applyAlignment="1">
      <alignment horizontal="center" vertical="center"/>
    </xf>
    <xf numFmtId="0" fontId="23" fillId="50" borderId="78" xfId="0" applyFont="1" applyFill="1" applyBorder="1" applyAlignment="1">
      <alignment horizontal="center" vertical="center"/>
    </xf>
    <xf numFmtId="0" fontId="23" fillId="50" borderId="45" xfId="0" applyFont="1" applyFill="1" applyBorder="1" applyAlignment="1">
      <alignment horizontal="center" vertical="center"/>
    </xf>
    <xf numFmtId="0" fontId="23" fillId="50" borderId="79" xfId="0" applyFont="1" applyFill="1" applyBorder="1" applyAlignment="1">
      <alignment horizontal="center" vertical="center"/>
    </xf>
    <xf numFmtId="0" fontId="23" fillId="32" borderId="15" xfId="0" applyFont="1" applyFill="1" applyBorder="1" applyAlignment="1">
      <alignment horizontal="center"/>
    </xf>
    <xf numFmtId="0" fontId="23" fillId="32" borderId="16" xfId="0" applyFont="1" applyFill="1" applyBorder="1" applyAlignment="1">
      <alignment horizontal="center"/>
    </xf>
    <xf numFmtId="0" fontId="23" fillId="32" borderId="20" xfId="0" applyFont="1" applyFill="1" applyBorder="1" applyAlignment="1">
      <alignment horizontal="center"/>
    </xf>
    <xf numFmtId="9" fontId="23" fillId="32" borderId="77" xfId="246" applyFont="1" applyFill="1" applyBorder="1" applyAlignment="1">
      <alignment horizontal="center" vertical="center"/>
    </xf>
    <xf numFmtId="9" fontId="23" fillId="32" borderId="86" xfId="246" applyFont="1" applyFill="1" applyBorder="1" applyAlignment="1">
      <alignment horizontal="center" vertical="center"/>
    </xf>
    <xf numFmtId="9" fontId="23" fillId="32" borderId="78" xfId="246" applyFont="1" applyFill="1" applyBorder="1" applyAlignment="1">
      <alignment horizontal="center" vertical="center"/>
    </xf>
    <xf numFmtId="9" fontId="23" fillId="32" borderId="77" xfId="246" applyFont="1" applyFill="1" applyBorder="1" applyAlignment="1">
      <alignment horizontal="center" vertical="center" wrapText="1"/>
    </xf>
    <xf numFmtId="9" fontId="23" fillId="32" borderId="86" xfId="246" applyFont="1" applyFill="1" applyBorder="1" applyAlignment="1">
      <alignment horizontal="center" vertical="center" wrapText="1"/>
    </xf>
    <xf numFmtId="9" fontId="23" fillId="32" borderId="78" xfId="246" applyFont="1" applyFill="1" applyBorder="1" applyAlignment="1">
      <alignment horizontal="center" vertical="center" wrapText="1"/>
    </xf>
    <xf numFmtId="0" fontId="24" fillId="32" borderId="10" xfId="201" applyFont="1" applyFill="1" applyBorder="1" applyAlignment="1">
      <alignment horizontal="center" vertical="center"/>
    </xf>
    <xf numFmtId="165" fontId="24" fillId="32" borderId="27" xfId="213" applyNumberFormat="1" applyFont="1" applyFill="1" applyBorder="1" applyAlignment="1">
      <alignment horizontal="center" vertical="center"/>
    </xf>
    <xf numFmtId="0" fontId="20" fillId="77" borderId="70" xfId="0" applyFont="1" applyFill="1" applyBorder="1" applyAlignment="1">
      <alignment horizontal="center" vertical="center"/>
    </xf>
    <xf numFmtId="0" fontId="20" fillId="77" borderId="87" xfId="0" applyFont="1" applyFill="1" applyBorder="1" applyAlignment="1">
      <alignment horizontal="center" vertical="center"/>
    </xf>
    <xf numFmtId="0" fontId="20" fillId="77" borderId="96" xfId="0" applyFont="1" applyFill="1" applyBorder="1" applyAlignment="1">
      <alignment horizontal="center" vertical="center"/>
    </xf>
    <xf numFmtId="0" fontId="20" fillId="77" borderId="72" xfId="0" applyFont="1" applyFill="1" applyBorder="1" applyAlignment="1">
      <alignment horizontal="center" vertical="center"/>
    </xf>
    <xf numFmtId="9" fontId="23" fillId="77" borderId="93" xfId="246" applyFont="1" applyFill="1" applyBorder="1" applyAlignment="1">
      <alignment horizontal="center" vertical="center"/>
    </xf>
    <xf numFmtId="9" fontId="23" fillId="77" borderId="31" xfId="246" applyFont="1" applyFill="1" applyBorder="1" applyAlignment="1">
      <alignment horizontal="center" vertical="center"/>
    </xf>
    <xf numFmtId="165" fontId="26" fillId="77" borderId="73" xfId="76" applyNumberFormat="1" applyFont="1" applyFill="1" applyBorder="1" applyAlignment="1">
      <alignment horizontal="center" vertical="center"/>
    </xf>
    <xf numFmtId="165" fontId="26" fillId="77" borderId="90" xfId="76" applyNumberFormat="1" applyFont="1" applyFill="1" applyBorder="1" applyAlignment="1">
      <alignment horizontal="center" vertical="center"/>
    </xf>
    <xf numFmtId="9" fontId="23" fillId="77" borderId="88" xfId="246" applyFont="1" applyFill="1" applyBorder="1" applyAlignment="1">
      <alignment horizontal="center" vertical="center"/>
    </xf>
    <xf numFmtId="9" fontId="23" fillId="77" borderId="92" xfId="246" applyFont="1" applyFill="1" applyBorder="1" applyAlignment="1">
      <alignment horizontal="center" vertical="center"/>
    </xf>
    <xf numFmtId="9" fontId="23" fillId="77" borderId="89" xfId="246" applyFont="1" applyFill="1" applyBorder="1" applyAlignment="1">
      <alignment horizontal="center" vertical="center"/>
    </xf>
    <xf numFmtId="9" fontId="20" fillId="77" borderId="88" xfId="246" applyFont="1" applyFill="1" applyBorder="1" applyAlignment="1">
      <alignment horizontal="center" vertical="center"/>
    </xf>
    <xf numFmtId="9" fontId="20" fillId="77" borderId="92" xfId="246" applyFont="1" applyFill="1" applyBorder="1" applyAlignment="1">
      <alignment horizontal="center" vertical="center"/>
    </xf>
    <xf numFmtId="165" fontId="20" fillId="77" borderId="92" xfId="246" applyNumberFormat="1" applyFont="1" applyFill="1" applyBorder="1" applyAlignment="1">
      <alignment horizontal="center" vertical="center"/>
    </xf>
    <xf numFmtId="165" fontId="20" fillId="77" borderId="89" xfId="246" applyNumberFormat="1" applyFont="1" applyFill="1" applyBorder="1" applyAlignment="1">
      <alignment horizontal="center" vertical="center"/>
    </xf>
    <xf numFmtId="9" fontId="20" fillId="77" borderId="77" xfId="246" applyFont="1" applyFill="1" applyBorder="1" applyAlignment="1">
      <alignment horizontal="center" vertical="center"/>
    </xf>
    <xf numFmtId="9" fontId="20" fillId="77" borderId="86" xfId="246" applyFont="1" applyFill="1" applyBorder="1" applyAlignment="1">
      <alignment horizontal="center" vertical="center"/>
    </xf>
    <xf numFmtId="9" fontId="20" fillId="77" borderId="79" xfId="246" applyFont="1" applyFill="1" applyBorder="1" applyAlignment="1">
      <alignment horizontal="center" vertical="center"/>
    </xf>
    <xf numFmtId="165" fontId="20" fillId="77" borderId="11" xfId="246" applyNumberFormat="1" applyFont="1" applyFill="1" applyBorder="1" applyAlignment="1">
      <alignment horizontal="center" vertical="center"/>
    </xf>
    <xf numFmtId="165" fontId="20" fillId="77" borderId="27" xfId="246" applyNumberFormat="1" applyFont="1" applyFill="1" applyBorder="1" applyAlignment="1">
      <alignment horizontal="center" vertical="center"/>
    </xf>
    <xf numFmtId="9" fontId="20" fillId="77" borderId="87" xfId="246" applyFont="1" applyFill="1" applyBorder="1" applyAlignment="1">
      <alignment horizontal="center" vertical="center"/>
    </xf>
    <xf numFmtId="9" fontId="55" fillId="77" borderId="88" xfId="246" applyFont="1" applyFill="1" applyBorder="1" applyAlignment="1">
      <alignment horizontal="center" vertical="center"/>
    </xf>
    <xf numFmtId="9" fontId="23" fillId="77" borderId="54" xfId="246" applyFont="1" applyFill="1" applyBorder="1" applyAlignment="1">
      <alignment horizontal="center" vertical="center" wrapText="1"/>
    </xf>
    <xf numFmtId="9" fontId="23" fillId="77" borderId="56" xfId="246" applyFont="1" applyFill="1" applyBorder="1" applyAlignment="1">
      <alignment horizontal="center" vertical="center" wrapText="1"/>
    </xf>
    <xf numFmtId="9" fontId="23" fillId="77" borderId="98" xfId="246" applyFont="1" applyFill="1" applyBorder="1" applyAlignment="1">
      <alignment horizontal="center" vertical="center" wrapText="1"/>
    </xf>
    <xf numFmtId="165" fontId="23" fillId="77" borderId="18" xfId="76" applyNumberFormat="1" applyFont="1" applyFill="1" applyBorder="1" applyAlignment="1">
      <alignment horizontal="center" vertical="center"/>
    </xf>
    <xf numFmtId="165" fontId="23" fillId="77" borderId="57" xfId="76" applyNumberFormat="1" applyFont="1" applyFill="1" applyBorder="1" applyAlignment="1">
      <alignment horizontal="center" vertical="center"/>
    </xf>
    <xf numFmtId="165" fontId="23" fillId="77" borderId="50" xfId="76" applyNumberFormat="1" applyFont="1" applyFill="1" applyBorder="1" applyAlignment="1">
      <alignment horizontal="center" vertical="center"/>
    </xf>
    <xf numFmtId="0" fontId="24" fillId="32" borderId="55" xfId="201" applyFont="1" applyFill="1" applyBorder="1" applyAlignment="1">
      <alignment horizontal="center" vertical="center"/>
    </xf>
    <xf numFmtId="0" fontId="24" fillId="32" borderId="0" xfId="201" applyFont="1" applyFill="1" applyBorder="1" applyAlignment="1">
      <alignment horizontal="center" vertical="center"/>
    </xf>
    <xf numFmtId="0" fontId="24" fillId="32" borderId="57" xfId="201" applyFont="1" applyFill="1" applyBorder="1" applyAlignment="1">
      <alignment horizontal="center" vertical="center"/>
    </xf>
    <xf numFmtId="0" fontId="24" fillId="32" borderId="49" xfId="201" applyFont="1" applyFill="1" applyBorder="1" applyAlignment="1">
      <alignment horizontal="center" vertical="center"/>
    </xf>
    <xf numFmtId="0" fontId="24" fillId="32" borderId="22" xfId="201" applyFont="1" applyFill="1" applyBorder="1" applyAlignment="1">
      <alignment horizontal="center" vertical="center"/>
    </xf>
    <xf numFmtId="0" fontId="24" fillId="32" borderId="50" xfId="201" applyFont="1" applyFill="1" applyBorder="1" applyAlignment="1">
      <alignment horizontal="center" vertical="center"/>
    </xf>
    <xf numFmtId="9" fontId="20" fillId="77" borderId="11" xfId="246" applyFont="1" applyFill="1" applyBorder="1" applyAlignment="1">
      <alignment horizontal="center" vertical="center"/>
    </xf>
    <xf numFmtId="9" fontId="20" fillId="77" borderId="27" xfId="246" applyFont="1" applyFill="1" applyBorder="1" applyAlignment="1">
      <alignment horizontal="center" vertical="center"/>
    </xf>
    <xf numFmtId="9" fontId="20" fillId="77" borderId="78" xfId="246" applyFont="1" applyFill="1" applyBorder="1" applyAlignment="1">
      <alignment horizontal="center" vertical="center"/>
    </xf>
    <xf numFmtId="9" fontId="20" fillId="77" borderId="10" xfId="246" applyFont="1" applyFill="1" applyBorder="1" applyAlignment="1">
      <alignment horizontal="center" vertical="center"/>
    </xf>
    <xf numFmtId="0" fontId="20" fillId="77" borderId="10" xfId="0" applyFont="1" applyFill="1" applyBorder="1" applyAlignment="1">
      <alignment horizontal="center"/>
    </xf>
    <xf numFmtId="0" fontId="20" fillId="77" borderId="11" xfId="0" applyFont="1" applyFill="1" applyBorder="1" applyAlignment="1">
      <alignment horizontal="center"/>
    </xf>
    <xf numFmtId="165" fontId="23" fillId="77" borderId="29" xfId="246" applyNumberFormat="1" applyFont="1" applyFill="1" applyBorder="1" applyAlignment="1">
      <alignment horizontal="center" vertical="center"/>
    </xf>
    <xf numFmtId="165" fontId="23" fillId="77" borderId="30" xfId="246" applyNumberFormat="1" applyFont="1" applyFill="1" applyBorder="1" applyAlignment="1">
      <alignment horizontal="center" vertical="center"/>
    </xf>
    <xf numFmtId="9" fontId="20" fillId="77" borderId="29" xfId="246" applyFont="1" applyFill="1" applyBorder="1" applyAlignment="1">
      <alignment horizontal="center" vertical="center"/>
    </xf>
    <xf numFmtId="9" fontId="20" fillId="77" borderId="30" xfId="246" applyFont="1" applyFill="1" applyBorder="1" applyAlignment="1">
      <alignment horizontal="center" vertical="center"/>
    </xf>
    <xf numFmtId="10" fontId="23" fillId="77" borderId="91" xfId="246" applyNumberFormat="1" applyFont="1" applyFill="1" applyBorder="1" applyAlignment="1">
      <alignment horizontal="center" vertical="center"/>
    </xf>
    <xf numFmtId="10" fontId="23" fillId="77" borderId="29" xfId="246" applyNumberFormat="1" applyFont="1" applyFill="1" applyBorder="1" applyAlignment="1">
      <alignment horizontal="center" vertical="center"/>
    </xf>
    <xf numFmtId="10" fontId="23" fillId="77" borderId="28" xfId="246" applyNumberFormat="1" applyFont="1" applyFill="1" applyBorder="1" applyAlignment="1">
      <alignment horizontal="center" vertical="center"/>
    </xf>
    <xf numFmtId="0" fontId="41" fillId="32" borderId="17" xfId="214" applyFont="1" applyFill="1" applyBorder="1" applyAlignment="1">
      <alignment horizontal="center" vertical="center"/>
    </xf>
    <xf numFmtId="0" fontId="41" fillId="32" borderId="19" xfId="214" applyFont="1" applyFill="1" applyBorder="1" applyAlignment="1">
      <alignment horizontal="center" vertical="center"/>
    </xf>
    <xf numFmtId="0" fontId="41" fillId="32" borderId="18" xfId="214" applyFont="1" applyFill="1" applyBorder="1" applyAlignment="1">
      <alignment horizontal="center" vertical="center"/>
    </xf>
    <xf numFmtId="0" fontId="2" fillId="0" borderId="23" xfId="190" applyFont="1" applyBorder="1" applyAlignment="1" applyProtection="1">
      <alignment horizontal="center" vertical="center"/>
      <protection locked="0"/>
    </xf>
    <xf numFmtId="0" fontId="2" fillId="0" borderId="21" xfId="190" applyFont="1" applyBorder="1" applyAlignment="1" applyProtection="1">
      <alignment horizontal="center" vertical="center"/>
      <protection locked="0"/>
    </xf>
    <xf numFmtId="0" fontId="2" fillId="0" borderId="59" xfId="190" applyFont="1" applyBorder="1" applyAlignment="1" applyProtection="1">
      <alignment horizontal="center" vertical="center"/>
      <protection locked="0"/>
    </xf>
    <xf numFmtId="0" fontId="42" fillId="25" borderId="17" xfId="190" applyFont="1" applyFill="1" applyBorder="1" applyAlignment="1" applyProtection="1">
      <alignment horizontal="center" vertical="center"/>
      <protection locked="0"/>
    </xf>
    <xf numFmtId="0" fontId="42" fillId="25" borderId="19" xfId="190" applyFont="1" applyFill="1" applyBorder="1" applyAlignment="1" applyProtection="1">
      <alignment horizontal="center" vertical="center"/>
      <protection locked="0"/>
    </xf>
    <xf numFmtId="0" fontId="42" fillId="25" borderId="18" xfId="190" applyFont="1" applyFill="1" applyBorder="1" applyAlignment="1" applyProtection="1">
      <alignment horizontal="center" vertical="center"/>
      <protection locked="0"/>
    </xf>
    <xf numFmtId="0" fontId="42" fillId="25" borderId="55" xfId="190" applyFont="1" applyFill="1" applyBorder="1" applyAlignment="1" applyProtection="1">
      <alignment horizontal="center" vertical="center"/>
      <protection locked="0"/>
    </xf>
    <xf numFmtId="0" fontId="42" fillId="25" borderId="0" xfId="190" applyFont="1" applyFill="1" applyBorder="1" applyAlignment="1" applyProtection="1">
      <alignment horizontal="center" vertical="center"/>
      <protection locked="0"/>
    </xf>
    <xf numFmtId="0" fontId="42" fillId="25" borderId="57" xfId="190" applyFont="1" applyFill="1" applyBorder="1" applyAlignment="1" applyProtection="1">
      <alignment horizontal="center" vertical="center"/>
      <protection locked="0"/>
    </xf>
    <xf numFmtId="0" fontId="42" fillId="25" borderId="49" xfId="190" applyFont="1" applyFill="1" applyBorder="1" applyAlignment="1" applyProtection="1">
      <alignment horizontal="center" vertical="center"/>
      <protection locked="0"/>
    </xf>
    <xf numFmtId="0" fontId="42" fillId="25" borderId="22" xfId="190" applyFont="1" applyFill="1" applyBorder="1" applyAlignment="1" applyProtection="1">
      <alignment horizontal="center" vertical="center"/>
      <protection locked="0"/>
    </xf>
    <xf numFmtId="0" fontId="42" fillId="25" borderId="50" xfId="190" applyFont="1" applyFill="1" applyBorder="1" applyAlignment="1" applyProtection="1">
      <alignment horizontal="center" vertical="center"/>
      <protection locked="0"/>
    </xf>
    <xf numFmtId="0" fontId="43" fillId="0" borderId="15" xfId="214" applyFont="1" applyFill="1" applyBorder="1" applyAlignment="1">
      <alignment horizontal="center" vertical="center"/>
    </xf>
    <xf numFmtId="0" fontId="43" fillId="0" borderId="16" xfId="214" applyFont="1" applyFill="1" applyBorder="1" applyAlignment="1">
      <alignment horizontal="center" vertical="center"/>
    </xf>
    <xf numFmtId="0" fontId="43" fillId="0" borderId="20" xfId="214" applyFont="1" applyFill="1" applyBorder="1" applyAlignment="1">
      <alignment horizontal="center" vertical="center"/>
    </xf>
    <xf numFmtId="0" fontId="45" fillId="0" borderId="17" xfId="214" applyFont="1" applyBorder="1" applyAlignment="1">
      <alignment horizontal="center"/>
    </xf>
    <xf numFmtId="0" fontId="2" fillId="0" borderId="19" xfId="214" applyBorder="1"/>
    <xf numFmtId="0" fontId="2" fillId="0" borderId="18" xfId="214" applyBorder="1"/>
    <xf numFmtId="0" fontId="41" fillId="0" borderId="55" xfId="214" applyFont="1" applyFill="1" applyBorder="1" applyAlignment="1">
      <alignment horizontal="center"/>
    </xf>
    <xf numFmtId="0" fontId="41" fillId="0" borderId="0" xfId="214" applyFont="1" applyFill="1" applyBorder="1" applyAlignment="1">
      <alignment horizontal="center"/>
    </xf>
    <xf numFmtId="0" fontId="41" fillId="0" borderId="57" xfId="214" applyFont="1" applyFill="1" applyBorder="1" applyAlignment="1">
      <alignment horizontal="center"/>
    </xf>
    <xf numFmtId="0" fontId="41" fillId="41" borderId="42" xfId="214" applyFont="1" applyFill="1" applyBorder="1" applyAlignment="1">
      <alignment horizontal="center" vertical="center"/>
    </xf>
    <xf numFmtId="0" fontId="41" fillId="41" borderId="19" xfId="214" applyFont="1" applyFill="1" applyBorder="1" applyAlignment="1">
      <alignment horizontal="center" vertical="center"/>
    </xf>
    <xf numFmtId="0" fontId="41" fillId="41" borderId="60" xfId="214" applyFont="1" applyFill="1" applyBorder="1" applyAlignment="1">
      <alignment horizontal="center" vertical="center"/>
    </xf>
    <xf numFmtId="0" fontId="41" fillId="41" borderId="43" xfId="214" applyFont="1" applyFill="1" applyBorder="1" applyAlignment="1">
      <alignment horizontal="center" vertical="center"/>
    </xf>
    <xf numFmtId="0" fontId="41" fillId="41" borderId="22" xfId="214" applyFont="1" applyFill="1" applyBorder="1" applyAlignment="1">
      <alignment horizontal="center" vertical="center"/>
    </xf>
    <xf numFmtId="0" fontId="41" fillId="41" borderId="61" xfId="214" applyFont="1" applyFill="1" applyBorder="1" applyAlignment="1">
      <alignment horizontal="center" vertical="center"/>
    </xf>
    <xf numFmtId="0" fontId="47" fillId="0" borderId="55" xfId="214" applyFont="1" applyBorder="1" applyAlignment="1">
      <alignment horizontal="center"/>
    </xf>
    <xf numFmtId="0" fontId="47" fillId="0" borderId="0" xfId="214" applyFont="1" applyBorder="1" applyAlignment="1">
      <alignment horizontal="center"/>
    </xf>
    <xf numFmtId="0" fontId="47" fillId="0" borderId="57" xfId="214" applyFont="1" applyBorder="1" applyAlignment="1">
      <alignment horizontal="center"/>
    </xf>
    <xf numFmtId="0" fontId="43" fillId="0" borderId="49" xfId="214" applyFont="1" applyFill="1" applyBorder="1" applyAlignment="1">
      <alignment horizontal="center"/>
    </xf>
    <xf numFmtId="0" fontId="43" fillId="0" borderId="22" xfId="214" applyFont="1" applyFill="1" applyBorder="1" applyAlignment="1">
      <alignment horizontal="center"/>
    </xf>
    <xf numFmtId="0" fontId="43" fillId="0" borderId="50" xfId="214" applyFont="1" applyFill="1" applyBorder="1" applyAlignment="1">
      <alignment horizontal="center"/>
    </xf>
    <xf numFmtId="0" fontId="46" fillId="0" borderId="55" xfId="214" applyFont="1" applyBorder="1" applyAlignment="1">
      <alignment horizontal="center"/>
    </xf>
    <xf numFmtId="0" fontId="46" fillId="0" borderId="0" xfId="214" applyFont="1" applyBorder="1" applyAlignment="1">
      <alignment horizontal="center"/>
    </xf>
    <xf numFmtId="0" fontId="46" fillId="0" borderId="57" xfId="214" applyFont="1" applyBorder="1" applyAlignment="1">
      <alignment horizontal="center"/>
    </xf>
    <xf numFmtId="0" fontId="0" fillId="0" borderId="0" xfId="0" applyAlignment="1">
      <alignment horizontal="center"/>
    </xf>
    <xf numFmtId="0" fontId="65" fillId="35" borderId="17" xfId="77" applyFont="1" applyFill="1" applyBorder="1" applyAlignment="1">
      <alignment horizontal="center" vertical="center" wrapText="1"/>
    </xf>
    <xf numFmtId="0" fontId="64" fillId="35" borderId="19" xfId="77" applyFont="1" applyFill="1" applyBorder="1" applyAlignment="1">
      <alignment horizontal="center" vertical="center" wrapText="1"/>
    </xf>
    <xf numFmtId="0" fontId="64" fillId="35" borderId="18" xfId="77" applyFont="1" applyFill="1" applyBorder="1" applyAlignment="1">
      <alignment horizontal="center" vertical="center" wrapText="1"/>
    </xf>
    <xf numFmtId="0" fontId="64" fillId="35" borderId="55" xfId="77" applyFont="1" applyFill="1" applyBorder="1" applyAlignment="1">
      <alignment horizontal="center" vertical="center" wrapText="1"/>
    </xf>
    <xf numFmtId="0" fontId="64" fillId="35" borderId="0" xfId="77" applyFont="1" applyFill="1" applyBorder="1" applyAlignment="1">
      <alignment horizontal="center" vertical="center" wrapText="1"/>
    </xf>
    <xf numFmtId="0" fontId="64" fillId="35" borderId="57" xfId="77" applyFont="1" applyFill="1" applyBorder="1" applyAlignment="1">
      <alignment horizontal="center" vertical="center" wrapText="1"/>
    </xf>
    <xf numFmtId="0" fontId="64" fillId="35" borderId="49" xfId="77" applyFont="1" applyFill="1" applyBorder="1" applyAlignment="1">
      <alignment horizontal="center" vertical="center" wrapText="1"/>
    </xf>
    <xf numFmtId="0" fontId="64" fillId="35" borderId="22" xfId="77" applyFont="1" applyFill="1" applyBorder="1" applyAlignment="1">
      <alignment horizontal="center" vertical="center" wrapText="1"/>
    </xf>
    <xf numFmtId="0" fontId="64" fillId="35" borderId="50" xfId="77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4" fillId="35" borderId="0" xfId="77" applyFont="1" applyFill="1" applyBorder="1" applyAlignment="1">
      <alignment horizontal="left" vertical="center" wrapText="1"/>
    </xf>
    <xf numFmtId="4" fontId="32" fillId="35" borderId="4" xfId="77" applyNumberFormat="1" applyFont="1" applyFill="1" applyBorder="1" applyAlignment="1">
      <alignment horizontal="center" vertical="center" wrapText="1"/>
    </xf>
    <xf numFmtId="4" fontId="32" fillId="35" borderId="4" xfId="77" applyNumberFormat="1" applyFont="1" applyFill="1" applyBorder="1" applyAlignment="1">
      <alignment horizontal="left" vertical="justify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3" fillId="26" borderId="42" xfId="200" applyFont="1" applyFill="1" applyBorder="1" applyAlignment="1">
      <alignment horizontal="left" vertical="center"/>
    </xf>
    <xf numFmtId="0" fontId="23" fillId="26" borderId="39" xfId="200" applyFont="1" applyFill="1" applyBorder="1" applyAlignment="1">
      <alignment horizontal="left" vertical="center"/>
    </xf>
    <xf numFmtId="0" fontId="23" fillId="26" borderId="26" xfId="200" applyFont="1" applyFill="1" applyBorder="1" applyAlignment="1">
      <alignment horizontal="left" vertical="center"/>
    </xf>
    <xf numFmtId="0" fontId="23" fillId="26" borderId="24" xfId="200" applyFont="1" applyFill="1" applyBorder="1" applyAlignment="1">
      <alignment horizontal="left" vertical="center"/>
    </xf>
    <xf numFmtId="165" fontId="28" fillId="28" borderId="35" xfId="207" applyNumberFormat="1" applyFont="1" applyFill="1" applyBorder="1" applyAlignment="1">
      <alignment horizontal="center" vertical="center"/>
    </xf>
    <xf numFmtId="0" fontId="24" fillId="28" borderId="41" xfId="200" applyFont="1" applyFill="1" applyBorder="1" applyAlignment="1">
      <alignment horizontal="left" vertical="center"/>
    </xf>
    <xf numFmtId="4" fontId="21" fillId="26" borderId="37" xfId="204" applyNumberFormat="1" applyFont="1" applyFill="1" applyBorder="1" applyAlignment="1">
      <alignment horizontal="center" vertical="center" wrapText="1"/>
    </xf>
    <xf numFmtId="4" fontId="21" fillId="26" borderId="38" xfId="204" applyNumberFormat="1" applyFont="1" applyFill="1" applyBorder="1" applyAlignment="1">
      <alignment horizontal="center" vertical="center" wrapText="1"/>
    </xf>
    <xf numFmtId="4" fontId="21" fillId="26" borderId="25" xfId="204" applyNumberFormat="1" applyFont="1" applyFill="1" applyBorder="1" applyAlignment="1">
      <alignment horizontal="center" vertical="center" wrapText="1"/>
    </xf>
    <xf numFmtId="4" fontId="21" fillId="26" borderId="31" xfId="204" applyNumberFormat="1" applyFont="1" applyFill="1" applyBorder="1" applyAlignment="1">
      <alignment horizontal="center" vertical="center" wrapText="1"/>
    </xf>
    <xf numFmtId="0" fontId="23" fillId="26" borderId="17" xfId="200" applyNumberFormat="1" applyFont="1" applyFill="1" applyBorder="1" applyAlignment="1">
      <alignment horizontal="center" vertical="center"/>
    </xf>
    <xf numFmtId="0" fontId="23" fillId="26" borderId="39" xfId="200" applyNumberFormat="1" applyFont="1" applyFill="1" applyBorder="1" applyAlignment="1">
      <alignment horizontal="center" vertical="center"/>
    </xf>
    <xf numFmtId="0" fontId="23" fillId="26" borderId="23" xfId="200" applyNumberFormat="1" applyFont="1" applyFill="1" applyBorder="1" applyAlignment="1">
      <alignment horizontal="center" vertical="center"/>
    </xf>
    <xf numFmtId="0" fontId="23" fillId="26" borderId="24" xfId="200" applyNumberFormat="1" applyFont="1" applyFill="1" applyBorder="1" applyAlignment="1">
      <alignment horizontal="center" vertical="center"/>
    </xf>
  </cellXfs>
  <cellStyles count="1962">
    <cellStyle name="=C:\WINDOWS\SYSTEM32\COMMAND.COM" xfId="467"/>
    <cellStyle name="20% - Accent1" xfId="1"/>
    <cellStyle name="20% - Accent1 10" xfId="1675"/>
    <cellStyle name="20% - Accent1 11" xfId="1753"/>
    <cellStyle name="20% - Accent1 12" xfId="1039"/>
    <cellStyle name="20% - Accent1 2" xfId="453"/>
    <cellStyle name="20% - Accent1 2 10" xfId="689"/>
    <cellStyle name="20% - Accent1 2 2" xfId="735"/>
    <cellStyle name="20% - Accent1 2 2 2" xfId="1042"/>
    <cellStyle name="20% - Accent1 2 2 3" xfId="1935"/>
    <cellStyle name="20% - Accent1 2 3" xfId="1402"/>
    <cellStyle name="20% - Accent1 2 4" xfId="1522"/>
    <cellStyle name="20% - Accent1 2 5" xfId="1589"/>
    <cellStyle name="20% - Accent1 2 6" xfId="1679"/>
    <cellStyle name="20% - Accent1 2 7" xfId="1757"/>
    <cellStyle name="20% - Accent1 2 8" xfId="1821"/>
    <cellStyle name="20% - Accent1 2 9" xfId="1856"/>
    <cellStyle name="20% - Accent1 3" xfId="585"/>
    <cellStyle name="20% - Accent1 4" xfId="642"/>
    <cellStyle name="20% - Accent1 5" xfId="693"/>
    <cellStyle name="20% - Accent1 5 2" xfId="1077"/>
    <cellStyle name="20% - Accent1 5 3" xfId="1956"/>
    <cellStyle name="20% - Accent1 6" xfId="1445"/>
    <cellStyle name="20% - Accent1 7" xfId="1537"/>
    <cellStyle name="20% - Accent1 8" xfId="1519"/>
    <cellStyle name="20% - Accent1 9" xfId="1585"/>
    <cellStyle name="20% - Accent2" xfId="2"/>
    <cellStyle name="20% - Accent2 10" xfId="1790"/>
    <cellStyle name="20% - Accent2 11" xfId="1843"/>
    <cellStyle name="20% - Accent2 12" xfId="1079"/>
    <cellStyle name="20% - Accent2 2" xfId="431"/>
    <cellStyle name="20% - Accent2 2 10" xfId="1096"/>
    <cellStyle name="20% - Accent2 2 2" xfId="736"/>
    <cellStyle name="20% - Accent2 2 2 2" xfId="1027"/>
    <cellStyle name="20% - Accent2 2 2 3" xfId="1928"/>
    <cellStyle name="20% - Accent2 2 3" xfId="1386"/>
    <cellStyle name="20% - Accent2 2 4" xfId="1528"/>
    <cellStyle name="20% - Accent2 2 5" xfId="1595"/>
    <cellStyle name="20% - Accent2 2 6" xfId="1682"/>
    <cellStyle name="20% - Accent2 2 7" xfId="1760"/>
    <cellStyle name="20% - Accent2 2 8" xfId="1823"/>
    <cellStyle name="20% - Accent2 2 9" xfId="1857"/>
    <cellStyle name="20% - Accent2 3" xfId="586"/>
    <cellStyle name="20% - Accent2 4" xfId="643"/>
    <cellStyle name="20% - Accent2 5" xfId="694"/>
    <cellStyle name="20% - Accent2 5 2" xfId="975"/>
    <cellStyle name="20% - Accent2 5 3" xfId="1908"/>
    <cellStyle name="20% - Accent2 6" xfId="1473"/>
    <cellStyle name="20% - Accent2 7" xfId="1539"/>
    <cellStyle name="20% - Accent2 8" xfId="1636"/>
    <cellStyle name="20% - Accent2 9" xfId="1718"/>
    <cellStyle name="20% - Accent3" xfId="3"/>
    <cellStyle name="20% - Accent3 10" xfId="1316"/>
    <cellStyle name="20% - Accent3 11" xfId="1566"/>
    <cellStyle name="20% - Accent3 12" xfId="1102"/>
    <cellStyle name="20% - Accent3 2" xfId="247"/>
    <cellStyle name="20% - Accent3 2 10" xfId="1087"/>
    <cellStyle name="20% - Accent3 2 2" xfId="737"/>
    <cellStyle name="20% - Accent3 2 2 2" xfId="888"/>
    <cellStyle name="20% - Accent3 2 2 3" xfId="1129"/>
    <cellStyle name="20% - Accent3 2 3" xfId="1230"/>
    <cellStyle name="20% - Accent3 2 4" xfId="1461"/>
    <cellStyle name="20% - Accent3 2 5" xfId="1450"/>
    <cellStyle name="20% - Accent3 2 6" xfId="796"/>
    <cellStyle name="20% - Accent3 2 7" xfId="1440"/>
    <cellStyle name="20% - Accent3 2 8" xfId="1000"/>
    <cellStyle name="20% - Accent3 2 9" xfId="1385"/>
    <cellStyle name="20% - Accent3 3" xfId="587"/>
    <cellStyle name="20% - Accent3 4" xfId="644"/>
    <cellStyle name="20% - Accent3 5" xfId="695"/>
    <cellStyle name="20% - Accent3 5 2" xfId="803"/>
    <cellStyle name="20% - Accent3 5 3" xfId="818"/>
    <cellStyle name="20% - Accent3 6" xfId="1269"/>
    <cellStyle name="20% - Accent3 7" xfId="1150"/>
    <cellStyle name="20% - Accent3 8" xfId="1154"/>
    <cellStyle name="20% - Accent3 9" xfId="1504"/>
    <cellStyle name="20% - Accent4" xfId="4"/>
    <cellStyle name="20% - Accent4 10" xfId="1792"/>
    <cellStyle name="20% - Accent4 11" xfId="1844"/>
    <cellStyle name="20% - Accent4 12" xfId="920"/>
    <cellStyle name="20% - Accent4 2" xfId="281"/>
    <cellStyle name="20% - Accent4 2 10" xfId="515"/>
    <cellStyle name="20% - Accent4 2 2" xfId="738"/>
    <cellStyle name="20% - Accent4 2 2 2" xfId="919"/>
    <cellStyle name="20% - Accent4 2 2 3" xfId="1882"/>
    <cellStyle name="20% - Accent4 2 3" xfId="1263"/>
    <cellStyle name="20% - Accent4 2 4" xfId="930"/>
    <cellStyle name="20% - Accent4 2 5" xfId="1303"/>
    <cellStyle name="20% - Accent4 2 6" xfId="1606"/>
    <cellStyle name="20% - Accent4 2 7" xfId="1692"/>
    <cellStyle name="20% - Accent4 2 8" xfId="1770"/>
    <cellStyle name="20% - Accent4 2 9" xfId="1830"/>
    <cellStyle name="20% - Accent4 3" xfId="588"/>
    <cellStyle name="20% - Accent4 4" xfId="645"/>
    <cellStyle name="20% - Accent4 5" xfId="696"/>
    <cellStyle name="20% - Accent4 5 2" xfId="786"/>
    <cellStyle name="20% - Accent4 5 3" xfId="1104"/>
    <cellStyle name="20% - Accent4 6" xfId="798"/>
    <cellStyle name="20% - Accent4 7" xfId="1542"/>
    <cellStyle name="20% - Accent4 8" xfId="1638"/>
    <cellStyle name="20% - Accent4 9" xfId="1720"/>
    <cellStyle name="20% - Accent5" xfId="5"/>
    <cellStyle name="20% - Accent5 10" xfId="1806"/>
    <cellStyle name="20% - Accent5 11" xfId="1851"/>
    <cellStyle name="20% - Accent5 12" xfId="790"/>
    <cellStyle name="20% - Accent5 2" xfId="319"/>
    <cellStyle name="20% - Accent5 2 10" xfId="565"/>
    <cellStyle name="20% - Accent5 2 2" xfId="739"/>
    <cellStyle name="20% - Accent5 2 2 2" xfId="953"/>
    <cellStyle name="20% - Accent5 2 2 3" xfId="1899"/>
    <cellStyle name="20% - Accent5 2 3" xfId="1294"/>
    <cellStyle name="20% - Accent5 2 4" xfId="942"/>
    <cellStyle name="20% - Accent5 2 5" xfId="1439"/>
    <cellStyle name="20% - Accent5 2 6" xfId="1501"/>
    <cellStyle name="20% - Accent5 2 7" xfId="1597"/>
    <cellStyle name="20% - Accent5 2 8" xfId="1684"/>
    <cellStyle name="20% - Accent5 2 9" xfId="1762"/>
    <cellStyle name="20% - Accent5 3" xfId="589"/>
    <cellStyle name="20% - Accent5 4" xfId="646"/>
    <cellStyle name="20% - Accent5 5" xfId="697"/>
    <cellStyle name="20% - Accent5 5 2" xfId="941"/>
    <cellStyle name="20% - Accent5 5 3" xfId="1896"/>
    <cellStyle name="20% - Accent5 6" xfId="1026"/>
    <cellStyle name="20% - Accent5 7" xfId="1567"/>
    <cellStyle name="20% - Accent5 8" xfId="1658"/>
    <cellStyle name="20% - Accent5 9" xfId="1738"/>
    <cellStyle name="20% - Accent6" xfId="6"/>
    <cellStyle name="20% - Accent6 10" xfId="1723"/>
    <cellStyle name="20% - Accent6 11" xfId="1795"/>
    <cellStyle name="20% - Accent6 12" xfId="981"/>
    <cellStyle name="20% - Accent6 2" xfId="318"/>
    <cellStyle name="20% - Accent6 2 10" xfId="1122"/>
    <cellStyle name="20% - Accent6 2 2" xfId="740"/>
    <cellStyle name="20% - Accent6 2 2 2" xfId="952"/>
    <cellStyle name="20% - Accent6 2 2 3" xfId="1898"/>
    <cellStyle name="20% - Accent6 2 3" xfId="1293"/>
    <cellStyle name="20% - Accent6 2 4" xfId="960"/>
    <cellStyle name="20% - Accent6 2 5" xfId="1239"/>
    <cellStyle name="20% - Accent6 2 6" xfId="1185"/>
    <cellStyle name="20% - Accent6 2 7" xfId="1328"/>
    <cellStyle name="20% - Accent6 2 8" xfId="1195"/>
    <cellStyle name="20% - Accent6 2 9" xfId="1541"/>
    <cellStyle name="20% - Accent6 3" xfId="590"/>
    <cellStyle name="20% - Accent6 4" xfId="647"/>
    <cellStyle name="20% - Accent6 5" xfId="698"/>
    <cellStyle name="20% - Accent6 5 2" xfId="932"/>
    <cellStyle name="20% - Accent6 5 3" xfId="1888"/>
    <cellStyle name="20% - Accent6 6" xfId="1015"/>
    <cellStyle name="20% - Accent6 7" xfId="1298"/>
    <cellStyle name="20% - Accent6 8" xfId="1545"/>
    <cellStyle name="20% - Accent6 9" xfId="1641"/>
    <cellStyle name="20% - Ênfase1 2" xfId="435"/>
    <cellStyle name="20% - Ênfase2 2" xfId="430"/>
    <cellStyle name="20% - Ênfase3 2" xfId="425"/>
    <cellStyle name="20% - Ênfase4 2" xfId="421"/>
    <cellStyle name="20% - Ênfase5 2" xfId="418"/>
    <cellStyle name="20% - Ênfase6 2" xfId="415"/>
    <cellStyle name="40% - Accent1" xfId="7"/>
    <cellStyle name="40% - Accent1 10" xfId="1704"/>
    <cellStyle name="40% - Accent1 11" xfId="1780"/>
    <cellStyle name="40% - Accent1 12" xfId="967"/>
    <cellStyle name="40% - Accent1 2" xfId="280"/>
    <cellStyle name="40% - Accent1 2 10" xfId="258"/>
    <cellStyle name="40% - Accent1 2 2" xfId="741"/>
    <cellStyle name="40% - Accent1 2 2 2" xfId="918"/>
    <cellStyle name="40% - Accent1 2 2 3" xfId="1881"/>
    <cellStyle name="40% - Accent1 2 3" xfId="1262"/>
    <cellStyle name="40% - Accent1 2 4" xfId="1023"/>
    <cellStyle name="40% - Accent1 2 5" xfId="1212"/>
    <cellStyle name="40% - Accent1 2 6" xfId="1490"/>
    <cellStyle name="40% - Accent1 2 7" xfId="1618"/>
    <cellStyle name="40% - Accent1 2 8" xfId="1703"/>
    <cellStyle name="40% - Accent1 2 9" xfId="1779"/>
    <cellStyle name="40% - Accent1 3" xfId="591"/>
    <cellStyle name="40% - Accent1 4" xfId="648"/>
    <cellStyle name="40% - Accent1 5" xfId="699"/>
    <cellStyle name="40% - Accent1 5 2" xfId="939"/>
    <cellStyle name="40% - Accent1 5 3" xfId="1894"/>
    <cellStyle name="40% - Accent1 6" xfId="1009"/>
    <cellStyle name="40% - Accent1 7" xfId="1021"/>
    <cellStyle name="40% - Accent1 8" xfId="1491"/>
    <cellStyle name="40% - Accent1 9" xfId="1619"/>
    <cellStyle name="40% - Accent2" xfId="8"/>
    <cellStyle name="40% - Accent2 10" xfId="1728"/>
    <cellStyle name="40% - Accent2 11" xfId="1798"/>
    <cellStyle name="40% - Accent2 12" xfId="980"/>
    <cellStyle name="40% - Accent2 2" xfId="279"/>
    <cellStyle name="40% - Accent2 2 10" xfId="536"/>
    <cellStyle name="40% - Accent2 2 2" xfId="742"/>
    <cellStyle name="40% - Accent2 2 2 2" xfId="917"/>
    <cellStyle name="40% - Accent2 2 2 3" xfId="1880"/>
    <cellStyle name="40% - Accent2 2 3" xfId="1261"/>
    <cellStyle name="40% - Accent2 2 4" xfId="1047"/>
    <cellStyle name="40% - Accent2 2 5" xfId="971"/>
    <cellStyle name="40% - Accent2 2 6" xfId="1275"/>
    <cellStyle name="40% - Accent2 2 7" xfId="1564"/>
    <cellStyle name="40% - Accent2 2 8" xfId="1656"/>
    <cellStyle name="40% - Accent2 2 9" xfId="1736"/>
    <cellStyle name="40% - Accent2 3" xfId="592"/>
    <cellStyle name="40% - Accent2 4" xfId="649"/>
    <cellStyle name="40% - Accent2 5" xfId="700"/>
    <cellStyle name="40% - Accent2 5 2" xfId="940"/>
    <cellStyle name="40% - Accent2 5 3" xfId="1895"/>
    <cellStyle name="40% - Accent2 6" xfId="764"/>
    <cellStyle name="40% - Accent2 7" xfId="1398"/>
    <cellStyle name="40% - Accent2 8" xfId="1552"/>
    <cellStyle name="40% - Accent2 9" xfId="1646"/>
    <cellStyle name="40% - Accent3" xfId="9"/>
    <cellStyle name="40% - Accent3 10" xfId="1674"/>
    <cellStyle name="40% - Accent3 11" xfId="1752"/>
    <cellStyle name="40% - Accent3 12" xfId="964"/>
    <cellStyle name="40% - Accent3 2" xfId="278"/>
    <cellStyle name="40% - Accent3 2 10" xfId="558"/>
    <cellStyle name="40% - Accent3 2 2" xfId="743"/>
    <cellStyle name="40% - Accent3 2 2 2" xfId="916"/>
    <cellStyle name="40% - Accent3 2 2 3" xfId="1879"/>
    <cellStyle name="40% - Accent3 2 3" xfId="1260"/>
    <cellStyle name="40% - Accent3 2 4" xfId="1237"/>
    <cellStyle name="40% - Accent3 2 5" xfId="1322"/>
    <cellStyle name="40% - Accent3 2 6" xfId="1633"/>
    <cellStyle name="40% - Accent3 2 7" xfId="1716"/>
    <cellStyle name="40% - Accent3 2 8" xfId="1788"/>
    <cellStyle name="40% - Accent3 2 9" xfId="1842"/>
    <cellStyle name="40% - Accent3 3" xfId="593"/>
    <cellStyle name="40% - Accent3 4" xfId="650"/>
    <cellStyle name="40% - Accent3 5" xfId="701"/>
    <cellStyle name="40% - Accent3 5 2" xfId="1022"/>
    <cellStyle name="40% - Accent3 5 3" xfId="1926"/>
    <cellStyle name="40% - Accent3 6" xfId="1052"/>
    <cellStyle name="40% - Accent3 7" xfId="1454"/>
    <cellStyle name="40% - Accent3 8" xfId="1517"/>
    <cellStyle name="40% - Accent3 9" xfId="1583"/>
    <cellStyle name="40% - Accent4" xfId="10"/>
    <cellStyle name="40% - Accent4 10" xfId="1538"/>
    <cellStyle name="40% - Accent4 11" xfId="1635"/>
    <cellStyle name="40% - Accent4 12" xfId="807"/>
    <cellStyle name="40% - Accent4 2" xfId="277"/>
    <cellStyle name="40% - Accent4 2 10" xfId="541"/>
    <cellStyle name="40% - Accent4 2 2" xfId="744"/>
    <cellStyle name="40% - Accent4 2 2 2" xfId="915"/>
    <cellStyle name="40% - Accent4 2 2 3" xfId="1878"/>
    <cellStyle name="40% - Accent4 2 3" xfId="1259"/>
    <cellStyle name="40% - Accent4 2 4" xfId="1159"/>
    <cellStyle name="40% - Accent4 2 5" xfId="1494"/>
    <cellStyle name="40% - Accent4 2 6" xfId="1622"/>
    <cellStyle name="40% - Accent4 2 7" xfId="1707"/>
    <cellStyle name="40% - Accent4 2 8" xfId="1781"/>
    <cellStyle name="40% - Accent4 2 9" xfId="1837"/>
    <cellStyle name="40% - Accent4 3" xfId="594"/>
    <cellStyle name="40% - Accent4 4" xfId="651"/>
    <cellStyle name="40% - Accent4 5" xfId="702"/>
    <cellStyle name="40% - Accent4 5 2" xfId="1076"/>
    <cellStyle name="40% - Accent4 5 3" xfId="1955"/>
    <cellStyle name="40% - Accent4 6" xfId="959"/>
    <cellStyle name="40% - Accent4 7" xfId="1421"/>
    <cellStyle name="40% - Accent4 8" xfId="762"/>
    <cellStyle name="40% - Accent4 9" xfId="1390"/>
    <cellStyle name="40% - Accent5" xfId="11"/>
    <cellStyle name="40% - Accent5 10" xfId="1689"/>
    <cellStyle name="40% - Accent5 11" xfId="1767"/>
    <cellStyle name="40% - Accent5 12" xfId="1124"/>
    <cellStyle name="40% - Accent5 2" xfId="276"/>
    <cellStyle name="40% - Accent5 2 10" xfId="503"/>
    <cellStyle name="40% - Accent5 2 2" xfId="745"/>
    <cellStyle name="40% - Accent5 2 2 2" xfId="914"/>
    <cellStyle name="40% - Accent5 2 2 3" xfId="1877"/>
    <cellStyle name="40% - Accent5 2 3" xfId="1258"/>
    <cellStyle name="40% - Accent5 2 4" xfId="1359"/>
    <cellStyle name="40% - Accent5 2 5" xfId="1199"/>
    <cellStyle name="40% - Accent5 2 6" xfId="1204"/>
    <cellStyle name="40% - Accent5 2 7" xfId="1423"/>
    <cellStyle name="40% - Accent5 2 8" xfId="1561"/>
    <cellStyle name="40% - Accent5 2 9" xfId="1653"/>
    <cellStyle name="40% - Accent5 3" xfId="595"/>
    <cellStyle name="40% - Accent5 4" xfId="652"/>
    <cellStyle name="40% - Accent5 5" xfId="703"/>
    <cellStyle name="40% - Accent5 5 2" xfId="1075"/>
    <cellStyle name="40% - Accent5 5 3" xfId="1954"/>
    <cellStyle name="40% - Accent5 6" xfId="1226"/>
    <cellStyle name="40% - Accent5 7" xfId="1475"/>
    <cellStyle name="40% - Accent5 8" xfId="1391"/>
    <cellStyle name="40% - Accent5 9" xfId="1603"/>
    <cellStyle name="40% - Accent6" xfId="12"/>
    <cellStyle name="40% - Accent6 10" xfId="1746"/>
    <cellStyle name="40% - Accent6 11" xfId="1812"/>
    <cellStyle name="40% - Accent6 12" xfId="1107"/>
    <cellStyle name="40% - Accent6 2" xfId="275"/>
    <cellStyle name="40% - Accent6 2 10" xfId="550"/>
    <cellStyle name="40% - Accent6 2 2" xfId="746"/>
    <cellStyle name="40% - Accent6 2 2 2" xfId="913"/>
    <cellStyle name="40% - Accent6 2 2 3" xfId="1876"/>
    <cellStyle name="40% - Accent6 2 3" xfId="1257"/>
    <cellStyle name="40% - Accent6 2 4" xfId="1203"/>
    <cellStyle name="40% - Accent6 2 5" xfId="1420"/>
    <cellStyle name="40% - Accent6 2 6" xfId="1599"/>
    <cellStyle name="40% - Accent6 2 7" xfId="1686"/>
    <cellStyle name="40% - Accent6 2 8" xfId="1764"/>
    <cellStyle name="40% - Accent6 2 9" xfId="1826"/>
    <cellStyle name="40% - Accent6 3" xfId="596"/>
    <cellStyle name="40% - Accent6 4" xfId="653"/>
    <cellStyle name="40% - Accent6 5" xfId="704"/>
    <cellStyle name="40% - Accent6 5 2" xfId="1074"/>
    <cellStyle name="40% - Accent6 5 3" xfId="1953"/>
    <cellStyle name="40% - Accent6 6" xfId="1223"/>
    <cellStyle name="40% - Accent6 7" xfId="1217"/>
    <cellStyle name="40% - Accent6 8" xfId="1575"/>
    <cellStyle name="40% - Accent6 9" xfId="1666"/>
    <cellStyle name="40% - Ênfase1 2" xfId="412"/>
    <cellStyle name="40% - Ênfase2 2" xfId="409"/>
    <cellStyle name="40% - Ênfase3 2" xfId="304"/>
    <cellStyle name="40% - Ênfase4 2" xfId="404"/>
    <cellStyle name="40% - Ênfase5 2" xfId="401"/>
    <cellStyle name="40% - Ênfase6 2" xfId="396"/>
    <cellStyle name="60% - Accent1" xfId="13"/>
    <cellStyle name="60% - Accent1 10" xfId="1201"/>
    <cellStyle name="60% - Accent1 11" xfId="1601"/>
    <cellStyle name="60% - Accent1 12" xfId="948"/>
    <cellStyle name="60% - Accent1 2" xfId="274"/>
    <cellStyle name="60% - Accent1 2 10" xfId="561"/>
    <cellStyle name="60% - Accent1 2 2" xfId="747"/>
    <cellStyle name="60% - Accent1 2 2 2" xfId="912"/>
    <cellStyle name="60% - Accent1 2 2 3" xfId="1875"/>
    <cellStyle name="60% - Accent1 2 3" xfId="1256"/>
    <cellStyle name="60% - Accent1 2 4" xfId="1401"/>
    <cellStyle name="60% - Accent1 2 5" xfId="1383"/>
    <cellStyle name="60% - Accent1 2 6" xfId="1141"/>
    <cellStyle name="60% - Accent1 2 7" xfId="1396"/>
    <cellStyle name="60% - Accent1 2 8" xfId="1346"/>
    <cellStyle name="60% - Accent1 2 9" xfId="1591"/>
    <cellStyle name="60% - Accent1 3" xfId="597"/>
    <cellStyle name="60% - Accent1 4" xfId="654"/>
    <cellStyle name="60% - Accent1 5" xfId="705"/>
    <cellStyle name="60% - Accent1 5 2" xfId="1073"/>
    <cellStyle name="60% - Accent1 5 3" xfId="1952"/>
    <cellStyle name="60% - Accent1 6" xfId="1218"/>
    <cellStyle name="60% - Accent1 7" xfId="1194"/>
    <cellStyle name="60% - Accent1 8" xfId="1189"/>
    <cellStyle name="60% - Accent1 9" xfId="1382"/>
    <cellStyle name="60% - Accent2" xfId="14"/>
    <cellStyle name="60% - Accent2 10" xfId="1283"/>
    <cellStyle name="60% - Accent2 11" xfId="1476"/>
    <cellStyle name="60% - Accent2 12" xfId="949"/>
    <cellStyle name="60% - Accent2 2" xfId="273"/>
    <cellStyle name="60% - Accent2 2 10" xfId="340"/>
    <cellStyle name="60% - Accent2 2 2" xfId="748"/>
    <cellStyle name="60% - Accent2 2 2 2" xfId="911"/>
    <cellStyle name="60% - Accent2 2 2 3" xfId="1874"/>
    <cellStyle name="60% - Accent2 2 3" xfId="1255"/>
    <cellStyle name="60% - Accent2 2 4" xfId="1165"/>
    <cellStyle name="60% - Accent2 2 5" xfId="1323"/>
    <cellStyle name="60% - Accent2 2 6" xfId="943"/>
    <cellStyle name="60% - Accent2 2 7" xfId="1170"/>
    <cellStyle name="60% - Accent2 2 8" xfId="1362"/>
    <cellStyle name="60% - Accent2 2 9" xfId="1374"/>
    <cellStyle name="60% - Accent2 3" xfId="598"/>
    <cellStyle name="60% - Accent2 4" xfId="655"/>
    <cellStyle name="60% - Accent2 5" xfId="706"/>
    <cellStyle name="60% - Accent2 5 2" xfId="1072"/>
    <cellStyle name="60% - Accent2 5 3" xfId="1951"/>
    <cellStyle name="60% - Accent2 6" xfId="1214"/>
    <cellStyle name="60% - Accent2 7" xfId="1331"/>
    <cellStyle name="60% - Accent2 8" xfId="1468"/>
    <cellStyle name="60% - Accent2 9" xfId="1233"/>
    <cellStyle name="60% - Accent3" xfId="15"/>
    <cellStyle name="60% - Accent3 10" xfId="1520"/>
    <cellStyle name="60% - Accent3 11" xfId="1243"/>
    <cellStyle name="60% - Accent3 12" xfId="1094"/>
    <cellStyle name="60% - Accent3 2" xfId="272"/>
    <cellStyle name="60% - Accent3 2 10" xfId="563"/>
    <cellStyle name="60% - Accent3 2 2" xfId="749"/>
    <cellStyle name="60% - Accent3 2 2 2" xfId="910"/>
    <cellStyle name="60% - Accent3 2 2 3" xfId="1873"/>
    <cellStyle name="60% - Accent3 2 3" xfId="1254"/>
    <cellStyle name="60% - Accent3 2 4" xfId="1364"/>
    <cellStyle name="60% - Accent3 2 5" xfId="1181"/>
    <cellStyle name="60% - Accent3 2 6" xfId="1500"/>
    <cellStyle name="60% - Accent3 2 7" xfId="1629"/>
    <cellStyle name="60% - Accent3 2 8" xfId="1712"/>
    <cellStyle name="60% - Accent3 2 9" xfId="1785"/>
    <cellStyle name="60% - Accent3 3" xfId="599"/>
    <cellStyle name="60% - Accent3 4" xfId="656"/>
    <cellStyle name="60% - Accent3 5" xfId="707"/>
    <cellStyle name="60% - Accent3 5 2" xfId="1071"/>
    <cellStyle name="60% - Accent3 5 3" xfId="1950"/>
    <cellStyle name="60% - Accent3 6" xfId="1208"/>
    <cellStyle name="60% - Accent3 7" xfId="1460"/>
    <cellStyle name="60% - Accent3 8" xfId="1282"/>
    <cellStyle name="60% - Accent3 9" xfId="1416"/>
    <cellStyle name="60% - Accent4" xfId="16"/>
    <cellStyle name="60% - Accent4 10" xfId="1654"/>
    <cellStyle name="60% - Accent4 11" xfId="1734"/>
    <cellStyle name="60% - Accent4 12" xfId="1088"/>
    <cellStyle name="60% - Accent4 2" xfId="271"/>
    <cellStyle name="60% - Accent4 2 10" xfId="497"/>
    <cellStyle name="60% - Accent4 2 2" xfId="750"/>
    <cellStyle name="60% - Accent4 2 2 2" xfId="909"/>
    <cellStyle name="60% - Accent4 2 2 3" xfId="1872"/>
    <cellStyle name="60% - Accent4 2 3" xfId="1253"/>
    <cellStyle name="60% - Accent4 2 4" xfId="1169"/>
    <cellStyle name="60% - Accent4 2 5" xfId="933"/>
    <cellStyle name="60% - Accent4 2 6" xfId="1317"/>
    <cellStyle name="60% - Accent4 2 7" xfId="1310"/>
    <cellStyle name="60% - Accent4 2 8" xfId="998"/>
    <cellStyle name="60% - Accent4 2 9" xfId="1182"/>
    <cellStyle name="60% - Accent4 3" xfId="600"/>
    <cellStyle name="60% - Accent4 4" xfId="657"/>
    <cellStyle name="60% - Accent4 5" xfId="708"/>
    <cellStyle name="60% - Accent4 5 2" xfId="1070"/>
    <cellStyle name="60% - Accent4 5 3" xfId="1949"/>
    <cellStyle name="60% - Accent4 6" xfId="1049"/>
    <cellStyle name="60% - Accent4 7" xfId="1314"/>
    <cellStyle name="60% - Accent4 8" xfId="1215"/>
    <cellStyle name="60% - Accent4 9" xfId="1562"/>
    <cellStyle name="60% - Accent5" xfId="17"/>
    <cellStyle name="60% - Accent5 10" xfId="1449"/>
    <cellStyle name="60% - Accent5 11" xfId="1353"/>
    <cellStyle name="60% - Accent5 12" xfId="991"/>
    <cellStyle name="60% - Accent5 2" xfId="481"/>
    <cellStyle name="60% - Accent5 2 10" xfId="674"/>
    <cellStyle name="60% - Accent5 2 2" xfId="751"/>
    <cellStyle name="60% - Accent5 2 2 2" xfId="1062"/>
    <cellStyle name="60% - Accent5 2 2 3" xfId="1941"/>
    <cellStyle name="60% - Accent5 2 3" xfId="1427"/>
    <cellStyle name="60% - Accent5 2 4" xfId="1516"/>
    <cellStyle name="60% - Accent5 2 5" xfId="1531"/>
    <cellStyle name="60% - Accent5 2 6" xfId="1630"/>
    <cellStyle name="60% - Accent5 2 7" xfId="1713"/>
    <cellStyle name="60% - Accent5 2 8" xfId="1786"/>
    <cellStyle name="60% - Accent5 2 9" xfId="1840"/>
    <cellStyle name="60% - Accent5 3" xfId="601"/>
    <cellStyle name="60% - Accent5 4" xfId="658"/>
    <cellStyle name="60% - Accent5 5" xfId="709"/>
    <cellStyle name="60% - Accent5 5 2" xfId="1069"/>
    <cellStyle name="60% - Accent5 5 3" xfId="1948"/>
    <cellStyle name="60% - Accent5 6" xfId="1200"/>
    <cellStyle name="60% - Accent5 7" xfId="1313"/>
    <cellStyle name="60% - Accent5 8" xfId="1442"/>
    <cellStyle name="60% - Accent5 9" xfId="1145"/>
    <cellStyle name="60% - Accent6" xfId="18"/>
    <cellStyle name="60% - Accent6 10" xfId="1645"/>
    <cellStyle name="60% - Accent6 11" xfId="1727"/>
    <cellStyle name="60% - Accent6 12" xfId="1058"/>
    <cellStyle name="60% - Accent6 2" xfId="480"/>
    <cellStyle name="60% - Accent6 2 10" xfId="537"/>
    <cellStyle name="60% - Accent6 2 2" xfId="752"/>
    <cellStyle name="60% - Accent6 2 2 2" xfId="1061"/>
    <cellStyle name="60% - Accent6 2 2 3" xfId="1940"/>
    <cellStyle name="60% - Accent6 2 3" xfId="1426"/>
    <cellStyle name="60% - Accent6 2 4" xfId="1389"/>
    <cellStyle name="60% - Accent6 2 5" xfId="1281"/>
    <cellStyle name="60% - Accent6 2 6" xfId="1464"/>
    <cellStyle name="60% - Accent6 2 7" xfId="1284"/>
    <cellStyle name="60% - Accent6 2 8" xfId="961"/>
    <cellStyle name="60% - Accent6 2 9" xfId="1403"/>
    <cellStyle name="60% - Accent6 3" xfId="602"/>
    <cellStyle name="60% - Accent6 4" xfId="659"/>
    <cellStyle name="60% - Accent6 5" xfId="710"/>
    <cellStyle name="60% - Accent6 5 2" xfId="1068"/>
    <cellStyle name="60% - Accent6 5 3" xfId="1947"/>
    <cellStyle name="60% - Accent6 6" xfId="1196"/>
    <cellStyle name="60% - Accent6 7" xfId="1455"/>
    <cellStyle name="60% - Accent6 8" xfId="1357"/>
    <cellStyle name="60% - Accent6 9" xfId="1551"/>
    <cellStyle name="60% - Ênfase1 2" xfId="393"/>
    <cellStyle name="60% - Ênfase2 2" xfId="389"/>
    <cellStyle name="60% - Ênfase3 2" xfId="385"/>
    <cellStyle name="60% - Ênfase4 2" xfId="381"/>
    <cellStyle name="60% - Ênfase5 2" xfId="378"/>
    <cellStyle name="60% - Ênfase6 2" xfId="374"/>
    <cellStyle name="Accent1" xfId="19"/>
    <cellStyle name="Accent1 10" xfId="1326"/>
    <cellStyle name="Accent1 11" xfId="1560"/>
    <cellStyle name="Accent1 12" xfId="1055"/>
    <cellStyle name="Accent1 2" xfId="270"/>
    <cellStyle name="Accent1 2 10" xfId="519"/>
    <cellStyle name="Accent1 2 2" xfId="753"/>
    <cellStyle name="Accent1 2 2 2" xfId="908"/>
    <cellStyle name="Accent1 2 2 3" xfId="1871"/>
    <cellStyle name="Accent1 2 3" xfId="1252"/>
    <cellStyle name="Accent1 2 4" xfId="1369"/>
    <cellStyle name="Accent1 2 5" xfId="1392"/>
    <cellStyle name="Accent1 2 6" xfId="965"/>
    <cellStyle name="Accent1 2 7" xfId="1147"/>
    <cellStyle name="Accent1 2 8" xfId="1224"/>
    <cellStyle name="Accent1 2 9" xfId="1550"/>
    <cellStyle name="Accent1 3" xfId="603"/>
    <cellStyle name="Accent1 4" xfId="660"/>
    <cellStyle name="Accent1 5" xfId="711"/>
    <cellStyle name="Accent1 5 2" xfId="1067"/>
    <cellStyle name="Accent1 5 3" xfId="1946"/>
    <cellStyle name="Accent1 6" xfId="1192"/>
    <cellStyle name="Accent1 7" xfId="1453"/>
    <cellStyle name="Accent1 8" xfId="770"/>
    <cellStyle name="Accent1 9" xfId="1530"/>
    <cellStyle name="Accent2" xfId="20"/>
    <cellStyle name="Accent2 10" xfId="1582"/>
    <cellStyle name="Accent2 11" xfId="1673"/>
    <cellStyle name="Accent2 12" xfId="1051"/>
    <cellStyle name="Accent2 2" xfId="269"/>
    <cellStyle name="Accent2 2 10" xfId="612"/>
    <cellStyle name="Accent2 2 2" xfId="754"/>
    <cellStyle name="Accent2 2 2 2" xfId="907"/>
    <cellStyle name="Accent2 2 2 3" xfId="1870"/>
    <cellStyle name="Accent2 2 3" xfId="1251"/>
    <cellStyle name="Accent2 2 4" xfId="1172"/>
    <cellStyle name="Accent2 2 5" xfId="1424"/>
    <cellStyle name="Accent2 2 6" xfId="1162"/>
    <cellStyle name="Accent2 2 7" xfId="1190"/>
    <cellStyle name="Accent2 2 8" xfId="1339"/>
    <cellStyle name="Accent2 2 9" xfId="1592"/>
    <cellStyle name="Accent2 3" xfId="604"/>
    <cellStyle name="Accent2 4" xfId="661"/>
    <cellStyle name="Accent2 5" xfId="712"/>
    <cellStyle name="Accent2 5 2" xfId="1066"/>
    <cellStyle name="Accent2 5 3" xfId="1945"/>
    <cellStyle name="Accent2 6" xfId="1187"/>
    <cellStyle name="Accent2 7" xfId="1506"/>
    <cellStyle name="Accent2 8" xfId="966"/>
    <cellStyle name="Accent2 9" xfId="1373"/>
    <cellStyle name="Accent3" xfId="21"/>
    <cellStyle name="Accent3 10" xfId="1660"/>
    <cellStyle name="Accent3 11" xfId="1740"/>
    <cellStyle name="Accent3 12" xfId="1050"/>
    <cellStyle name="Accent3 2" xfId="268"/>
    <cellStyle name="Accent3 2 10" xfId="1091"/>
    <cellStyle name="Accent3 2 2" xfId="755"/>
    <cellStyle name="Accent3 2 2 2" xfId="906"/>
    <cellStyle name="Accent3 2 2 3" xfId="1869"/>
    <cellStyle name="Accent3 2 3" xfId="1250"/>
    <cellStyle name="Accent3 2 4" xfId="1371"/>
    <cellStyle name="Accent3 2 5" xfId="1167"/>
    <cellStyle name="Accent3 2 6" xfId="1332"/>
    <cellStyle name="Accent3 2 7" xfId="1164"/>
    <cellStyle name="Accent3 2 8" xfId="1379"/>
    <cellStyle name="Accent3 2 9" xfId="1151"/>
    <cellStyle name="Accent3 3" xfId="605"/>
    <cellStyle name="Accent3 4" xfId="662"/>
    <cellStyle name="Accent3 5" xfId="713"/>
    <cellStyle name="Accent3 5 2" xfId="1065"/>
    <cellStyle name="Accent3 5 3" xfId="1944"/>
    <cellStyle name="Accent3 6" xfId="1183"/>
    <cellStyle name="Accent3 7" xfId="1336"/>
    <cellStyle name="Accent3 8" xfId="1324"/>
    <cellStyle name="Accent3 9" xfId="1569"/>
    <cellStyle name="Accent4" xfId="22"/>
    <cellStyle name="Accent4 10" xfId="1413"/>
    <cellStyle name="Accent4 11" xfId="1142"/>
    <cellStyle name="Accent4 12" xfId="1044"/>
    <cellStyle name="Accent4 2" xfId="267"/>
    <cellStyle name="Accent4 2 10" xfId="417"/>
    <cellStyle name="Accent4 2 2" xfId="756"/>
    <cellStyle name="Accent4 2 2 2" xfId="905"/>
    <cellStyle name="Accent4 2 2 3" xfId="1868"/>
    <cellStyle name="Accent4 2 3" xfId="1249"/>
    <cellStyle name="Accent4 2 4" xfId="1166"/>
    <cellStyle name="Accent4 2 5" xfId="1228"/>
    <cellStyle name="Accent4 2 6" xfId="1598"/>
    <cellStyle name="Accent4 2 7" xfId="1685"/>
    <cellStyle name="Accent4 2 8" xfId="1763"/>
    <cellStyle name="Accent4 2 9" xfId="1825"/>
    <cellStyle name="Accent4 3" xfId="606"/>
    <cellStyle name="Accent4 4" xfId="663"/>
    <cellStyle name="Accent4 5" xfId="714"/>
    <cellStyle name="Accent4 5 2" xfId="1064"/>
    <cellStyle name="Accent4 5 3" xfId="1943"/>
    <cellStyle name="Accent4 6" xfId="1179"/>
    <cellStyle name="Accent4 7" xfId="1148"/>
    <cellStyle name="Accent4 8" xfId="1311"/>
    <cellStyle name="Accent4 9" xfId="1524"/>
    <cellStyle name="Accent5" xfId="23"/>
    <cellStyle name="Accent5 10" xfId="1616"/>
    <cellStyle name="Accent5 11" xfId="1701"/>
    <cellStyle name="Accent5 12" xfId="1082"/>
    <cellStyle name="Accent5 2" xfId="266"/>
    <cellStyle name="Accent5 2 10" xfId="672"/>
    <cellStyle name="Accent5 2 2" xfId="757"/>
    <cellStyle name="Accent5 2 2 2" xfId="904"/>
    <cellStyle name="Accent5 2 2 3" xfId="1867"/>
    <cellStyle name="Accent5 2 3" xfId="1248"/>
    <cellStyle name="Accent5 2 4" xfId="1365"/>
    <cellStyle name="Accent5 2 5" xfId="1356"/>
    <cellStyle name="Accent5 2 6" xfId="1563"/>
    <cellStyle name="Accent5 2 7" xfId="1655"/>
    <cellStyle name="Accent5 2 8" xfId="1735"/>
    <cellStyle name="Accent5 2 9" xfId="1804"/>
    <cellStyle name="Accent5 3" xfId="607"/>
    <cellStyle name="Accent5 4" xfId="664"/>
    <cellStyle name="Accent5 5" xfId="715"/>
    <cellStyle name="Accent5 5 2" xfId="1063"/>
    <cellStyle name="Accent5 5 3" xfId="1942"/>
    <cellStyle name="Accent5 6" xfId="1176"/>
    <cellStyle name="Accent5 7" xfId="1352"/>
    <cellStyle name="Accent5 8" xfId="1216"/>
    <cellStyle name="Accent5 9" xfId="1488"/>
    <cellStyle name="Accent6" xfId="24"/>
    <cellStyle name="Accent6 10" xfId="1220"/>
    <cellStyle name="Accent6 11" xfId="1378"/>
    <cellStyle name="Accent6 12" xfId="1100"/>
    <cellStyle name="Accent6 2" xfId="265"/>
    <cellStyle name="Accent6 2 10" xfId="670"/>
    <cellStyle name="Accent6 2 2" xfId="758"/>
    <cellStyle name="Accent6 2 2 2" xfId="903"/>
    <cellStyle name="Accent6 2 2 3" xfId="1866"/>
    <cellStyle name="Accent6 2 3" xfId="1247"/>
    <cellStyle name="Accent6 2 4" xfId="1177"/>
    <cellStyle name="Accent6 2 5" xfId="1368"/>
    <cellStyle name="Accent6 2 6" xfId="1533"/>
    <cellStyle name="Accent6 2 7" xfId="1152"/>
    <cellStyle name="Accent6 2 8" xfId="1412"/>
    <cellStyle name="Accent6 2 9" xfId="1408"/>
    <cellStyle name="Accent6 3" xfId="608"/>
    <cellStyle name="Accent6 4" xfId="665"/>
    <cellStyle name="Accent6 5" xfId="716"/>
    <cellStyle name="Accent6 5 2" xfId="889"/>
    <cellStyle name="Accent6 5 3" xfId="1112"/>
    <cellStyle name="Accent6 6" xfId="1174"/>
    <cellStyle name="Accent6 7" xfId="1457"/>
    <cellStyle name="Accent6 8" xfId="922"/>
    <cellStyle name="Accent6 9" xfId="1149"/>
    <cellStyle name="Bad" xfId="25"/>
    <cellStyle name="Bad 10" xfId="1615"/>
    <cellStyle name="Bad 11" xfId="1700"/>
    <cellStyle name="Bad 12" xfId="973"/>
    <cellStyle name="Bad 2" xfId="264"/>
    <cellStyle name="Bad 2 10" xfId="669"/>
    <cellStyle name="Bad 2 2" xfId="759"/>
    <cellStyle name="Bad 2 2 2" xfId="902"/>
    <cellStyle name="Bad 2 2 3" xfId="1865"/>
    <cellStyle name="Bad 2 3" xfId="1246"/>
    <cellStyle name="Bad 2 4" xfId="1376"/>
    <cellStyle name="Bad 2 5" xfId="1341"/>
    <cellStyle name="Bad 2 6" xfId="1602"/>
    <cellStyle name="Bad 2 7" xfId="1688"/>
    <cellStyle name="Bad 2 8" xfId="1766"/>
    <cellStyle name="Bad 2 9" xfId="1827"/>
    <cellStyle name="Bad 3" xfId="609"/>
    <cellStyle name="Bad 4" xfId="666"/>
    <cellStyle name="Bad 5" xfId="717"/>
    <cellStyle name="Bad 5 2" xfId="890"/>
    <cellStyle name="Bad 5 3" xfId="1128"/>
    <cellStyle name="Bad 6" xfId="1171"/>
    <cellStyle name="Bad 7" xfId="1163"/>
    <cellStyle name="Bad 8" xfId="1306"/>
    <cellStyle name="Bad 9" xfId="1487"/>
    <cellStyle name="Bom 2" xfId="370"/>
    <cellStyle name="Calculation" xfId="26"/>
    <cellStyle name="Calculation 10" xfId="1496"/>
    <cellStyle name="Calculation 11" xfId="1625"/>
    <cellStyle name="Calculation 12" xfId="791"/>
    <cellStyle name="Calculation 2" xfId="263"/>
    <cellStyle name="Calculation 2 10" xfId="673"/>
    <cellStyle name="Calculation 2 2" xfId="760"/>
    <cellStyle name="Calculation 2 2 2" xfId="901"/>
    <cellStyle name="Calculation 2 2 3" xfId="1864"/>
    <cellStyle name="Calculation 2 3" xfId="1245"/>
    <cellStyle name="Calculation 2 4" xfId="1210"/>
    <cellStyle name="Calculation 2 5" xfId="1523"/>
    <cellStyle name="Calculation 2 6" xfId="1590"/>
    <cellStyle name="Calculation 2 7" xfId="1680"/>
    <cellStyle name="Calculation 2 8" xfId="1758"/>
    <cellStyle name="Calculation 2 9" xfId="1822"/>
    <cellStyle name="Calculation 3" xfId="610"/>
    <cellStyle name="Calculation 4" xfId="667"/>
    <cellStyle name="Calculation 5" xfId="718"/>
    <cellStyle name="Calculation 5 2" xfId="785"/>
    <cellStyle name="Calculation 5 3" xfId="1084"/>
    <cellStyle name="Calculation 6" xfId="1168"/>
    <cellStyle name="Calculation 7" xfId="1367"/>
    <cellStyle name="Calculation 8" xfId="1404"/>
    <cellStyle name="Calculation 9" xfId="1387"/>
    <cellStyle name="Cálculo 2" xfId="303"/>
    <cellStyle name="Cancel" xfId="244"/>
    <cellStyle name="Cancel 2" xfId="245"/>
    <cellStyle name="Célula de Verificação 2" xfId="323"/>
    <cellStyle name="Célula Vinculada 2" xfId="366"/>
    <cellStyle name="Check Cell" xfId="27"/>
    <cellStyle name="Check Cell 10" xfId="1518"/>
    <cellStyle name="Check Cell 11" xfId="1584"/>
    <cellStyle name="Check Cell 12" xfId="1040"/>
    <cellStyle name="Check Cell 2" xfId="262"/>
    <cellStyle name="Check Cell 2 10" xfId="637"/>
    <cellStyle name="Check Cell 2 2" xfId="761"/>
    <cellStyle name="Check Cell 2 2 2" xfId="900"/>
    <cellStyle name="Check Cell 2 2 3" xfId="1863"/>
    <cellStyle name="Check Cell 2 3" xfId="1244"/>
    <cellStyle name="Check Cell 2 4" xfId="1409"/>
    <cellStyle name="Check Cell 2 5" xfId="1546"/>
    <cellStyle name="Check Cell 2 6" xfId="1642"/>
    <cellStyle name="Check Cell 2 7" xfId="1724"/>
    <cellStyle name="Check Cell 2 8" xfId="1796"/>
    <cellStyle name="Check Cell 2 9" xfId="1846"/>
    <cellStyle name="Check Cell 3" xfId="611"/>
    <cellStyle name="Check Cell 4" xfId="668"/>
    <cellStyle name="Check Cell 5" xfId="719"/>
    <cellStyle name="Check Cell 5 2" xfId="963"/>
    <cellStyle name="Check Cell 5 3" xfId="1902"/>
    <cellStyle name="Check Cell 6" xfId="1028"/>
    <cellStyle name="Check Cell 7" xfId="1160"/>
    <cellStyle name="Check Cell 8" xfId="1502"/>
    <cellStyle name="Check Cell 9" xfId="1272"/>
    <cellStyle name="Comma 2" xfId="28"/>
    <cellStyle name="Currency 2" xfId="261"/>
    <cellStyle name="Ênfase1 2" xfId="361"/>
    <cellStyle name="Ênfase2 2" xfId="357"/>
    <cellStyle name="Ênfase3 2" xfId="336"/>
    <cellStyle name="Ênfase4 2" xfId="332"/>
    <cellStyle name="Ênfase5 2" xfId="316"/>
    <cellStyle name="Ênfase6 2" xfId="478"/>
    <cellStyle name="Entrada 2" xfId="474"/>
    <cellStyle name="Excel Built-in Normal" xfId="325"/>
    <cellStyle name="Explanatory Text" xfId="29"/>
    <cellStyle name="Good" xfId="30"/>
    <cellStyle name="Good 10" xfId="1621"/>
    <cellStyle name="Good 11" xfId="1706"/>
    <cellStyle name="Good 12" xfId="1024"/>
    <cellStyle name="Good 2" xfId="260"/>
    <cellStyle name="Good 2 10" xfId="683"/>
    <cellStyle name="Good 2 2" xfId="763"/>
    <cellStyle name="Good 2 2 2" xfId="898"/>
    <cellStyle name="Good 2 2 3" xfId="1108"/>
    <cellStyle name="Good 2 3" xfId="1242"/>
    <cellStyle name="Good 2 4" xfId="1400"/>
    <cellStyle name="Good 2 5" xfId="927"/>
    <cellStyle name="Good 2 6" xfId="1300"/>
    <cellStyle name="Good 2 7" xfId="1186"/>
    <cellStyle name="Good 2 8" xfId="1527"/>
    <cellStyle name="Good 2 9" xfId="1594"/>
    <cellStyle name="Good 3" xfId="614"/>
    <cellStyle name="Good 4" xfId="671"/>
    <cellStyle name="Good 5" xfId="721"/>
    <cellStyle name="Good 5 2" xfId="892"/>
    <cellStyle name="Good 5 3" xfId="1127"/>
    <cellStyle name="Good 6" xfId="1158"/>
    <cellStyle name="Good 7" xfId="1308"/>
    <cellStyle name="Good 8" xfId="1366"/>
    <cellStyle name="Good 9" xfId="1493"/>
    <cellStyle name="Heading 1" xfId="31"/>
    <cellStyle name="Heading 2" xfId="32"/>
    <cellStyle name="Heading 3" xfId="33"/>
    <cellStyle name="Heading 4" xfId="34"/>
    <cellStyle name="Hyperlink 2" xfId="469"/>
    <cellStyle name="Hyperlink 2 2" xfId="351"/>
    <cellStyle name="Hyperlink 2 3" xfId="286"/>
    <cellStyle name="Incorreto 2" xfId="465"/>
    <cellStyle name="Input" xfId="35"/>
    <cellStyle name="Input 10" xfId="1643"/>
    <cellStyle name="Input 11" xfId="1725"/>
    <cellStyle name="Input 12" xfId="1008"/>
    <cellStyle name="Input 2" xfId="257"/>
    <cellStyle name="Input 2 10" xfId="1123"/>
    <cellStyle name="Input 2 2" xfId="768"/>
    <cellStyle name="Input 2 2 2" xfId="896"/>
    <cellStyle name="Input 2 2 3" xfId="1109"/>
    <cellStyle name="Input 2 3" xfId="1240"/>
    <cellStyle name="Input 2 4" xfId="1465"/>
    <cellStyle name="Input 2 5" xfId="899"/>
    <cellStyle name="Input 2 6" xfId="992"/>
    <cellStyle name="Input 2 7" xfId="1466"/>
    <cellStyle name="Input 2 8" xfId="1340"/>
    <cellStyle name="Input 2 9" xfId="1509"/>
    <cellStyle name="Input 3" xfId="617"/>
    <cellStyle name="Input 4" xfId="675"/>
    <cellStyle name="Input 5" xfId="723"/>
    <cellStyle name="Input 5 2" xfId="974"/>
    <cellStyle name="Input 5 3" xfId="1907"/>
    <cellStyle name="Input 6" xfId="1146"/>
    <cellStyle name="Input 7" xfId="1337"/>
    <cellStyle name="Input 8" xfId="1447"/>
    <cellStyle name="Input 9" xfId="1547"/>
    <cellStyle name="Linked Cell" xfId="36"/>
    <cellStyle name="Moeda" xfId="76" builtinId="4"/>
    <cellStyle name="Moeda 10" xfId="240"/>
    <cellStyle name="Moeda 10 2" xfId="476"/>
    <cellStyle name="Moeda 10 3" xfId="884"/>
    <cellStyle name="Moeda 10 4" xfId="1113"/>
    <cellStyle name="Moeda 2" xfId="458"/>
    <cellStyle name="Moeda 2 2" xfId="311"/>
    <cellStyle name="Moeda 2 3" xfId="341"/>
    <cellStyle name="Moeda 3" xfId="70"/>
    <cellStyle name="Moeda 3 10" xfId="1434"/>
    <cellStyle name="Moeda 3 11" xfId="1511"/>
    <cellStyle name="Moeda 3 12" xfId="1578"/>
    <cellStyle name="Moeda 3 13" xfId="1669"/>
    <cellStyle name="Moeda 3 14" xfId="733"/>
    <cellStyle name="Moeda 3 2" xfId="78"/>
    <cellStyle name="Moeda 3 2 10" xfId="878"/>
    <cellStyle name="Moeda 3 2 2" xfId="79"/>
    <cellStyle name="Moeda 3 2 3" xfId="793"/>
    <cellStyle name="Moeda 3 2 3 2" xfId="799"/>
    <cellStyle name="Moeda 3 2 3 3" xfId="1060"/>
    <cellStyle name="Moeda 3 2 4" xfId="1279"/>
    <cellStyle name="Moeda 3 2 5" xfId="1350"/>
    <cellStyle name="Moeda 3 2 6" xfId="1505"/>
    <cellStyle name="Moeda 3 2 7" xfId="1634"/>
    <cellStyle name="Moeda 3 2 8" xfId="1717"/>
    <cellStyle name="Moeda 3 2 9" xfId="1789"/>
    <cellStyle name="Moeda 3 3" xfId="313"/>
    <cellStyle name="Moeda 3 4" xfId="447"/>
    <cellStyle name="Moeda 3 5" xfId="523"/>
    <cellStyle name="Moeda 3 6" xfId="534"/>
    <cellStyle name="Moeda 3 7" xfId="514"/>
    <cellStyle name="Moeda 3 7 2" xfId="986"/>
    <cellStyle name="Moeda 3 7 3" xfId="1915"/>
    <cellStyle name="Moeda 3 8" xfId="1459"/>
    <cellStyle name="Moeda 3 9" xfId="1451"/>
    <cellStyle name="Moeda 5" xfId="207"/>
    <cellStyle name="Moeda 5 2" xfId="443"/>
    <cellStyle name="Moeda 5 3" xfId="867"/>
    <cellStyle name="Moeda 5 4" xfId="516"/>
    <cellStyle name="Moeda 6" xfId="213"/>
    <cellStyle name="Moeda 6 2" xfId="449"/>
    <cellStyle name="Moeda 6 3" xfId="870"/>
    <cellStyle name="Moeda 6 4" xfId="1134"/>
    <cellStyle name="Neutra 2" xfId="441"/>
    <cellStyle name="Neutral" xfId="37"/>
    <cellStyle name="Neutral 10" xfId="1296"/>
    <cellStyle name="Neutral 11" xfId="1173"/>
    <cellStyle name="Neutral 12" xfId="1095"/>
    <cellStyle name="Neutral 2" xfId="255"/>
    <cellStyle name="Neutral 2 10" xfId="1106"/>
    <cellStyle name="Neutral 2 2" xfId="769"/>
    <cellStyle name="Neutral 2 2 2" xfId="895"/>
    <cellStyle name="Neutral 2 2 3" xfId="1110"/>
    <cellStyle name="Neutral 2 3" xfId="1238"/>
    <cellStyle name="Neutral 2 4" xfId="1462"/>
    <cellStyle name="Neutral 2 5" xfId="1574"/>
    <cellStyle name="Neutral 2 6" xfId="1665"/>
    <cellStyle name="Neutral 2 7" xfId="1745"/>
    <cellStyle name="Neutral 2 8" xfId="1811"/>
    <cellStyle name="Neutral 2 9" xfId="1855"/>
    <cellStyle name="Neutral 3" xfId="619"/>
    <cellStyle name="Neutral 4" xfId="676"/>
    <cellStyle name="Neutral 5" xfId="725"/>
    <cellStyle name="Neutral 5 2" xfId="934"/>
    <cellStyle name="Neutral 5 3" xfId="1889"/>
    <cellStyle name="Neutral 6" xfId="1139"/>
    <cellStyle name="Neutral 7" xfId="1305"/>
    <cellStyle name="Neutral 8" xfId="1144"/>
    <cellStyle name="Neutral 9" xfId="1467"/>
    <cellStyle name="Normal" xfId="0" builtinId="0"/>
    <cellStyle name="Normal 10" xfId="122"/>
    <cellStyle name="Normal 10 10" xfId="1637"/>
    <cellStyle name="Normal 10 11" xfId="1719"/>
    <cellStyle name="Normal 10 12" xfId="1791"/>
    <cellStyle name="Normal 10 13" xfId="732"/>
    <cellStyle name="Normal 10 2" xfId="360"/>
    <cellStyle name="Normal 10 3" xfId="434"/>
    <cellStyle name="Normal 10 4" xfId="525"/>
    <cellStyle name="Normal 10 5" xfId="552"/>
    <cellStyle name="Normal 10 6" xfId="518"/>
    <cellStyle name="Normal 10 6 2" xfId="938"/>
    <cellStyle name="Normal 10 6 3" xfId="1893"/>
    <cellStyle name="Normal 10 7" xfId="1419"/>
    <cellStyle name="Normal 10 8" xfId="1286"/>
    <cellStyle name="Normal 10 9" xfId="1540"/>
    <cellStyle name="Normal 11" xfId="126"/>
    <cellStyle name="Normal 11 10" xfId="1019"/>
    <cellStyle name="Normal 11 11" xfId="1375"/>
    <cellStyle name="Normal 11 12" xfId="1614"/>
    <cellStyle name="Normal 11 13" xfId="856"/>
    <cellStyle name="Normal 11 2" xfId="364"/>
    <cellStyle name="Normal 11 2 10" xfId="1153"/>
    <cellStyle name="Normal 11 2 11" xfId="1507"/>
    <cellStyle name="Normal 11 2 12" xfId="844"/>
    <cellStyle name="Normal 11 2 2" xfId="285"/>
    <cellStyle name="Normal 11 2 2 10" xfId="1914"/>
    <cellStyle name="Normal 11 2 2 2" xfId="985"/>
    <cellStyle name="Normal 11 2 2 2 2" xfId="923"/>
    <cellStyle name="Normal 11 2 2 2 3" xfId="1884"/>
    <cellStyle name="Normal 11 2 2 3" xfId="1267"/>
    <cellStyle name="Normal 11 2 2 4" xfId="1478"/>
    <cellStyle name="Normal 11 2 2 5" xfId="1435"/>
    <cellStyle name="Normal 11 2 2 6" xfId="1481"/>
    <cellStyle name="Normal 11 2 2 7" xfId="1609"/>
    <cellStyle name="Normal 11 2 2 8" xfId="1695"/>
    <cellStyle name="Normal 11 2 2 9" xfId="1773"/>
    <cellStyle name="Normal 11 2 3" xfId="572"/>
    <cellStyle name="Normal 11 2 4" xfId="507"/>
    <cellStyle name="Normal 11 2 5" xfId="624"/>
    <cellStyle name="Normal 11 2 5 2" xfId="1330"/>
    <cellStyle name="Normal 11 2 5 3" xfId="1960"/>
    <cellStyle name="Normal 11 2 6" xfId="1321"/>
    <cellStyle name="Normal 11 2 7" xfId="1188"/>
    <cellStyle name="Normal 11 2 8" xfId="1406"/>
    <cellStyle name="Normal 11 2 9" xfId="1407"/>
    <cellStyle name="Normal 11 3" xfId="353"/>
    <cellStyle name="Normal 11 4" xfId="564"/>
    <cellStyle name="Normal 11 4 10" xfId="863"/>
    <cellStyle name="Normal 11 4 2" xfId="822"/>
    <cellStyle name="Normal 11 4 2 2" xfId="1098"/>
    <cellStyle name="Normal 11 4 2 3" xfId="1957"/>
    <cellStyle name="Normal 11 4 3" xfId="1470"/>
    <cellStyle name="Normal 11 4 4" xfId="1565"/>
    <cellStyle name="Normal 11 4 5" xfId="1657"/>
    <cellStyle name="Normal 11 4 6" xfId="1737"/>
    <cellStyle name="Normal 11 4 7" xfId="1805"/>
    <cellStyle name="Normal 11 4 8" xfId="1850"/>
    <cellStyle name="Normal 11 4 9" xfId="1861"/>
    <cellStyle name="Normal 11 5" xfId="512"/>
    <cellStyle name="Normal 11 6" xfId="559"/>
    <cellStyle name="Normal 11 6 2" xfId="1016"/>
    <cellStyle name="Normal 11 6 3" xfId="1923"/>
    <cellStyle name="Normal 11 7" xfId="1458"/>
    <cellStyle name="Normal 11 8" xfId="1397"/>
    <cellStyle name="Normal 11 9" xfId="1211"/>
    <cellStyle name="Normal 12" xfId="130"/>
    <cellStyle name="Normal 12 10" xfId="1678"/>
    <cellStyle name="Normal 12 11" xfId="1756"/>
    <cellStyle name="Normal 12 12" xfId="1820"/>
    <cellStyle name="Normal 12 13" xfId="831"/>
    <cellStyle name="Normal 12 2" xfId="368"/>
    <cellStyle name="Normal 12 3" xfId="347"/>
    <cellStyle name="Normal 12 4" xfId="577"/>
    <cellStyle name="Normal 12 5" xfId="502"/>
    <cellStyle name="Normal 12 6" xfId="628"/>
    <cellStyle name="Normal 12 6 2" xfId="1030"/>
    <cellStyle name="Normal 12 6 3" xfId="1929"/>
    <cellStyle name="Normal 12 7" xfId="1198"/>
    <cellStyle name="Normal 12 8" xfId="1521"/>
    <cellStyle name="Normal 12 9" xfId="1588"/>
    <cellStyle name="Normal 13" xfId="200"/>
    <cellStyle name="Normal 13 10" xfId="1157"/>
    <cellStyle name="Normal 13 11" xfId="1302"/>
    <cellStyle name="Normal 13 12" xfId="1559"/>
    <cellStyle name="Normal 13 13" xfId="825"/>
    <cellStyle name="Normal 13 2" xfId="436"/>
    <cellStyle name="Normal 13 3" xfId="349"/>
    <cellStyle name="Normal 13 4" xfId="580"/>
    <cellStyle name="Normal 13 5" xfId="499"/>
    <cellStyle name="Normal 13 6" xfId="631"/>
    <cellStyle name="Normal 13 7" xfId="1342"/>
    <cellStyle name="Normal 13 8" xfId="1290"/>
    <cellStyle name="Normal 13 9" xfId="1056"/>
    <cellStyle name="Normal 14" xfId="137"/>
    <cellStyle name="Normal 14 2" xfId="375"/>
    <cellStyle name="Normal 14 3" xfId="828"/>
    <cellStyle name="Normal 14 4" xfId="1029"/>
    <cellStyle name="Normal 15" xfId="201"/>
    <cellStyle name="Normal 15 2" xfId="437"/>
    <cellStyle name="Normal 15 3" xfId="864"/>
    <cellStyle name="Normal 15 4" xfId="1120"/>
    <cellStyle name="Normal 16" xfId="144"/>
    <cellStyle name="Normal 16 2" xfId="382"/>
    <cellStyle name="Normal 16 3" xfId="833"/>
    <cellStyle name="Normal 16 4" xfId="1037"/>
    <cellStyle name="Normal 17" xfId="148"/>
    <cellStyle name="Normal 17 2" xfId="195"/>
    <cellStyle name="Normal 17 3" xfId="217"/>
    <cellStyle name="Normal 17 4" xfId="226"/>
    <cellStyle name="Normal 17 5" xfId="386"/>
    <cellStyle name="Normal 17 6" xfId="835"/>
    <cellStyle name="Normal 17 7" xfId="947"/>
    <cellStyle name="Normal 18" xfId="152"/>
    <cellStyle name="Normal 18 2" xfId="390"/>
    <cellStyle name="Normal 18 3" xfId="838"/>
    <cellStyle name="Normal 18 4" xfId="531"/>
    <cellStyle name="Normal 19" xfId="214"/>
    <cellStyle name="Normal 19 2" xfId="450"/>
    <cellStyle name="Normal 19 3" xfId="871"/>
    <cellStyle name="Normal 19 4" xfId="1118"/>
    <cellStyle name="Normal 2" xfId="80"/>
    <cellStyle name="Normal 2 10" xfId="71"/>
    <cellStyle name="Normal 2 11" xfId="91"/>
    <cellStyle name="Normal 2 12" xfId="90"/>
    <cellStyle name="Normal 2 13" xfId="110"/>
    <cellStyle name="Normal 2 14" xfId="102"/>
    <cellStyle name="Normal 2 15" xfId="111"/>
    <cellStyle name="Normal 2 16" xfId="101"/>
    <cellStyle name="Normal 2 17" xfId="112"/>
    <cellStyle name="Normal 2 18" xfId="108"/>
    <cellStyle name="Normal 2 19" xfId="113"/>
    <cellStyle name="Normal 2 2" xfId="38"/>
    <cellStyle name="Normal 2 2 10" xfId="88"/>
    <cellStyle name="Normal 2 2 10 2" xfId="328"/>
    <cellStyle name="Normal 2 2 10 3" xfId="806"/>
    <cellStyle name="Normal 2 2 10 4" xfId="816"/>
    <cellStyle name="Normal 2 2 11" xfId="367"/>
    <cellStyle name="Normal 2 2 12" xfId="250"/>
    <cellStyle name="Normal 2 2 13" xfId="549"/>
    <cellStyle name="Normal 2 2 14" xfId="521"/>
    <cellStyle name="Normal 2 2 14 2" xfId="1046"/>
    <cellStyle name="Normal 2 2 14 3" xfId="1936"/>
    <cellStyle name="Normal 2 2 15" xfId="1285"/>
    <cellStyle name="Normal 2 2 16" xfId="1002"/>
    <cellStyle name="Normal 2 2 17" xfId="988"/>
    <cellStyle name="Normal 2 2 18" xfId="1510"/>
    <cellStyle name="Normal 2 2 19" xfId="1140"/>
    <cellStyle name="Normal 2 2 2" xfId="39"/>
    <cellStyle name="Normal 2 2 20" xfId="1480"/>
    <cellStyle name="Normal 2 2 21" xfId="630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81"/>
    <cellStyle name="Normal 2 2 9 2" xfId="321"/>
    <cellStyle name="Normal 2 2 9 3" xfId="800"/>
    <cellStyle name="Normal 2 2 9 4" xfId="823"/>
    <cellStyle name="Normal 2 20" xfId="107"/>
    <cellStyle name="Normal 2 21" xfId="114"/>
    <cellStyle name="Normal 2 22" xfId="106"/>
    <cellStyle name="Normal 2 23" xfId="115"/>
    <cellStyle name="Normal 2 24" xfId="105"/>
    <cellStyle name="Normal 2 25" xfId="116"/>
    <cellStyle name="Normal 2 26" xfId="104"/>
    <cellStyle name="Normal 2 27" xfId="117"/>
    <cellStyle name="Normal 2 28" xfId="103"/>
    <cellStyle name="Normal 2 29" xfId="127"/>
    <cellStyle name="Normal 2 3" xfId="46"/>
    <cellStyle name="Normal 2 3 10" xfId="1747"/>
    <cellStyle name="Normal 2 3 11" xfId="1813"/>
    <cellStyle name="Normal 2 3 12" xfId="1081"/>
    <cellStyle name="Normal 2 3 2" xfId="363"/>
    <cellStyle name="Normal 2 3 2 10" xfId="1017"/>
    <cellStyle name="Normal 2 3 2 2" xfId="773"/>
    <cellStyle name="Normal 2 3 2 2 2" xfId="984"/>
    <cellStyle name="Normal 2 3 2 2 3" xfId="1913"/>
    <cellStyle name="Normal 2 3 2 3" xfId="1329"/>
    <cellStyle name="Normal 2 3 2 4" xfId="1448"/>
    <cellStyle name="Normal 2 3 2 5" xfId="1570"/>
    <cellStyle name="Normal 2 3 2 6" xfId="1661"/>
    <cellStyle name="Normal 2 3 2 7" xfId="1741"/>
    <cellStyle name="Normal 2 3 2 8" xfId="1807"/>
    <cellStyle name="Normal 2 3 2 9" xfId="1852"/>
    <cellStyle name="Normal 2 3 3" xfId="479"/>
    <cellStyle name="Normal 2 3 4" xfId="548"/>
    <cellStyle name="Normal 2 3 5" xfId="522"/>
    <cellStyle name="Normal 2 3 5 2" xfId="935"/>
    <cellStyle name="Normal 2 3 5 3" xfId="1890"/>
    <cellStyle name="Normal 2 3 6" xfId="1438"/>
    <cellStyle name="Normal 2 3 7" xfId="1536"/>
    <cellStyle name="Normal 2 3 8" xfId="1576"/>
    <cellStyle name="Normal 2 3 9" xfId="1667"/>
    <cellStyle name="Normal 2 30" xfId="109"/>
    <cellStyle name="Normal 2 31" xfId="184"/>
    <cellStyle name="Normal 2 32" xfId="189"/>
    <cellStyle name="Normal 2 33" xfId="196"/>
    <cellStyle name="Normal 2 34" xfId="202"/>
    <cellStyle name="Normal 2 35" xfId="208"/>
    <cellStyle name="Normal 2 36" xfId="218"/>
    <cellStyle name="Normal 2 37" xfId="227"/>
    <cellStyle name="Normal 2 38" xfId="231"/>
    <cellStyle name="Normal 2 39" xfId="235"/>
    <cellStyle name="Normal 2 4" xfId="47"/>
    <cellStyle name="Normal 2 4 10" xfId="1772"/>
    <cellStyle name="Normal 2 4 11" xfId="1832"/>
    <cellStyle name="Normal 2 4 12" xfId="731"/>
    <cellStyle name="Normal 2 4 2" xfId="429"/>
    <cellStyle name="Normal 2 4 2 10" xfId="1010"/>
    <cellStyle name="Normal 2 4 2 2" xfId="774"/>
    <cellStyle name="Normal 2 4 2 2 2" xfId="1025"/>
    <cellStyle name="Normal 2 4 2 2 3" xfId="1927"/>
    <cellStyle name="Normal 2 4 2 3" xfId="1384"/>
    <cellStyle name="Normal 2 4 2 4" xfId="1529"/>
    <cellStyle name="Normal 2 4 2 5" xfId="1596"/>
    <cellStyle name="Normal 2 4 2 6" xfId="1683"/>
    <cellStyle name="Normal 2 4 2 7" xfId="1761"/>
    <cellStyle name="Normal 2 4 2 8" xfId="1824"/>
    <cellStyle name="Normal 2 4 2 9" xfId="1858"/>
    <cellStyle name="Normal 2 4 3" xfId="526"/>
    <cellStyle name="Normal 2 4 4" xfId="557"/>
    <cellStyle name="Normal 2 4 5" xfId="513"/>
    <cellStyle name="Normal 2 4 5 2" xfId="887"/>
    <cellStyle name="Normal 2 4 5 3" xfId="682"/>
    <cellStyle name="Normal 2 4 6" xfId="1437"/>
    <cellStyle name="Normal 2 4 7" xfId="1535"/>
    <cellStyle name="Normal 2 4 8" xfId="1608"/>
    <cellStyle name="Normal 2 4 9" xfId="1694"/>
    <cellStyle name="Normal 2 40" xfId="224"/>
    <cellStyle name="Normal 2 41" xfId="320"/>
    <cellStyle name="Normal 2 42" xfId="324"/>
    <cellStyle name="Normal 2 43" xfId="295"/>
    <cellStyle name="Normal 2 44" xfId="579"/>
    <cellStyle name="Normal 2 45" xfId="618"/>
    <cellStyle name="Normal 2 46" xfId="1078"/>
    <cellStyle name="Normal 2 5" xfId="48"/>
    <cellStyle name="Normal 2 5 10" xfId="1748"/>
    <cellStyle name="Normal 2 5 11" xfId="1814"/>
    <cellStyle name="Normal 2 5 12" xfId="730"/>
    <cellStyle name="Normal 2 5 2" xfId="424"/>
    <cellStyle name="Normal 2 5 2 10" xfId="1013"/>
    <cellStyle name="Normal 2 5 2 2" xfId="775"/>
    <cellStyle name="Normal 2 5 2 2 2" xfId="1020"/>
    <cellStyle name="Normal 2 5 2 2 3" xfId="1925"/>
    <cellStyle name="Normal 2 5 2 3" xfId="1380"/>
    <cellStyle name="Normal 2 5 2 4" xfId="1335"/>
    <cellStyle name="Normal 2 5 2 5" xfId="1425"/>
    <cellStyle name="Normal 2 5 2 6" xfId="1360"/>
    <cellStyle name="Normal 2 5 2 7" xfId="1388"/>
    <cellStyle name="Normal 2 5 2 8" xfId="1229"/>
    <cellStyle name="Normal 2 5 2 9" xfId="1264"/>
    <cellStyle name="Normal 2 5 3" xfId="527"/>
    <cellStyle name="Normal 2 5 4" xfId="562"/>
    <cellStyle name="Normal 2 5 5" xfId="571"/>
    <cellStyle name="Normal 2 5 5 2" xfId="993"/>
    <cellStyle name="Normal 2 5 5 3" xfId="1916"/>
    <cellStyle name="Normal 2 5 6" xfId="1436"/>
    <cellStyle name="Normal 2 5 7" xfId="1415"/>
    <cellStyle name="Normal 2 5 8" xfId="1577"/>
    <cellStyle name="Normal 2 5 9" xfId="1668"/>
    <cellStyle name="Normal 2 6" xfId="49"/>
    <cellStyle name="Normal 2 7" xfId="50"/>
    <cellStyle name="Normal 2 8" xfId="51"/>
    <cellStyle name="Normal 2 9" xfId="64"/>
    <cellStyle name="Normal 2_Orçamento Itapaci" xfId="254"/>
    <cellStyle name="Normal 20" xfId="159"/>
    <cellStyle name="Normal 20 2" xfId="397"/>
    <cellStyle name="Normal 20 3" xfId="842"/>
    <cellStyle name="Normal 20 4" xfId="627"/>
    <cellStyle name="Normal 21" xfId="216"/>
    <cellStyle name="Normal 21 2" xfId="452"/>
    <cellStyle name="Normal 21 3" xfId="873"/>
    <cellStyle name="Normal 21 4" xfId="1117"/>
    <cellStyle name="Normal 22" xfId="167"/>
    <cellStyle name="Normal 22 2" xfId="405"/>
    <cellStyle name="Normal 22 3" xfId="847"/>
    <cellStyle name="Normal 22 4" xfId="720"/>
    <cellStyle name="Normal 23" xfId="172"/>
    <cellStyle name="Normal 23 2" xfId="410"/>
    <cellStyle name="Normal 23 3" xfId="850"/>
    <cellStyle name="Normal 23 4" xfId="520"/>
    <cellStyle name="Normal 24" xfId="175"/>
    <cellStyle name="Normal 24 2" xfId="413"/>
    <cellStyle name="Normal 24 3" xfId="852"/>
    <cellStyle name="Normal 24 4" xfId="632"/>
    <cellStyle name="Normal 25" xfId="168"/>
    <cellStyle name="Normal 25 2" xfId="406"/>
    <cellStyle name="Normal 25 3" xfId="848"/>
    <cellStyle name="Normal 25 4" xfId="500"/>
    <cellStyle name="Normal 26" xfId="181"/>
    <cellStyle name="Normal 26 2" xfId="419"/>
    <cellStyle name="Normal 26 3" xfId="855"/>
    <cellStyle name="Normal 26 4" xfId="636"/>
    <cellStyle name="Normal 27" xfId="225"/>
    <cellStyle name="Normal 27 2" xfId="461"/>
    <cellStyle name="Normal 27 3" xfId="877"/>
    <cellStyle name="Normal 27 4" xfId="620"/>
    <cellStyle name="Normal 28" xfId="215"/>
    <cellStyle name="Normal 28 2" xfId="451"/>
    <cellStyle name="Normal 28 3" xfId="872"/>
    <cellStyle name="Normal 28 4" xfId="1133"/>
    <cellStyle name="Normal 3" xfId="52"/>
    <cellStyle name="Normal 3 10" xfId="1579"/>
    <cellStyle name="Normal 3 11" xfId="1670"/>
    <cellStyle name="Normal 3 12" xfId="1749"/>
    <cellStyle name="Normal 3 13" xfId="1815"/>
    <cellStyle name="Normal 3 14" xfId="1101"/>
    <cellStyle name="Normal 3 2" xfId="87"/>
    <cellStyle name="Normal 3 2 10" xfId="1345"/>
    <cellStyle name="Normal 3 2 11" xfId="1456"/>
    <cellStyle name="Normal 3 2 12" xfId="978"/>
    <cellStyle name="Normal 3 2 13" xfId="925"/>
    <cellStyle name="Normal 3 2 2" xfId="327"/>
    <cellStyle name="Normal 3 2 2 10" xfId="1731"/>
    <cellStyle name="Normal 3 2 2 11" xfId="1801"/>
    <cellStyle name="Normal 3 2 2 12" xfId="729"/>
    <cellStyle name="Normal 3 2 2 2" xfId="420"/>
    <cellStyle name="Normal 3 2 2 2 10" xfId="1900"/>
    <cellStyle name="Normal 3 2 2 2 2" xfId="958"/>
    <cellStyle name="Normal 3 2 2 2 2 2" xfId="1018"/>
    <cellStyle name="Normal 3 2 2 2 2 3" xfId="1924"/>
    <cellStyle name="Normal 3 2 2 2 3" xfId="1377"/>
    <cellStyle name="Normal 3 2 2 2 4" xfId="1227"/>
    <cellStyle name="Normal 3 2 2 2 5" xfId="1474"/>
    <cellStyle name="Normal 3 2 2 2 6" xfId="1543"/>
    <cellStyle name="Normal 3 2 2 2 7" xfId="1639"/>
    <cellStyle name="Normal 3 2 2 2 8" xfId="1721"/>
    <cellStyle name="Normal 3 2 2 2 9" xfId="1793"/>
    <cellStyle name="Normal 3 2 2 3" xfId="528"/>
    <cellStyle name="Normal 3 2 2 4" xfId="551"/>
    <cellStyle name="Normal 3 2 2 5" xfId="517"/>
    <cellStyle name="Normal 3 2 2 5 2" xfId="1301"/>
    <cellStyle name="Normal 3 2 2 5 3" xfId="1959"/>
    <cellStyle name="Normal 3 2 2 6" xfId="1045"/>
    <cellStyle name="Normal 3 2 2 7" xfId="1399"/>
    <cellStyle name="Normal 3 2 2 8" xfId="1555"/>
    <cellStyle name="Normal 3 2 2 9" xfId="1649"/>
    <cellStyle name="Normal 3 2 3" xfId="337"/>
    <cellStyle name="Normal 3 2 4" xfId="402"/>
    <cellStyle name="Normal 3 2 4 10" xfId="817"/>
    <cellStyle name="Normal 3 2 4 2" xfId="805"/>
    <cellStyle name="Normal 3 2 4 2 2" xfId="1007"/>
    <cellStyle name="Normal 3 2 4 2 3" xfId="1921"/>
    <cellStyle name="Normal 3 2 4 3" xfId="1361"/>
    <cellStyle name="Normal 3 2 4 4" xfId="1503"/>
    <cellStyle name="Normal 3 2 4 5" xfId="1155"/>
    <cellStyle name="Normal 3 2 4 6" xfId="1472"/>
    <cellStyle name="Normal 3 2 4 7" xfId="1492"/>
    <cellStyle name="Normal 3 2 4 8" xfId="1620"/>
    <cellStyle name="Normal 3 2 4 9" xfId="1705"/>
    <cellStyle name="Normal 3 2 5" xfId="546"/>
    <cellStyle name="Normal 3 2 6" xfId="524"/>
    <cellStyle name="Normal 3 2 6 2" xfId="945"/>
    <cellStyle name="Normal 3 2 6 3" xfId="1897"/>
    <cellStyle name="Normal 3 2 7" xfId="1004"/>
    <cellStyle name="Normal 3 2 8" xfId="996"/>
    <cellStyle name="Normal 3 2 9" xfId="1178"/>
    <cellStyle name="Normal 3 3" xfId="89"/>
    <cellStyle name="Normal 3 3 10" xfId="1344"/>
    <cellStyle name="Normal 3 3 11" xfId="1143"/>
    <cellStyle name="Normal 3 3 12" xfId="1525"/>
    <cellStyle name="Normal 3 3 13" xfId="1086"/>
    <cellStyle name="Normal 3 3 2" xfId="329"/>
    <cellStyle name="Normal 3 3 3" xfId="330"/>
    <cellStyle name="Normal 3 3 4" xfId="582"/>
    <cellStyle name="Normal 3 3 5" xfId="639"/>
    <cellStyle name="Normal 3 3 6" xfId="690"/>
    <cellStyle name="Normal 3 3 6 2" xfId="797"/>
    <cellStyle name="Normal 3 3 6 3" xfId="857"/>
    <cellStyle name="Normal 3 3 7" xfId="976"/>
    <cellStyle name="Normal 3 3 8" xfId="1221"/>
    <cellStyle name="Normal 3 3 9" xfId="1444"/>
    <cellStyle name="Normal 3 4" xfId="359"/>
    <cellStyle name="Normal 3 4 10" xfId="1005"/>
    <cellStyle name="Normal 3 4 2" xfId="778"/>
    <cellStyle name="Normal 3 4 2 2" xfId="982"/>
    <cellStyle name="Normal 3 4 2 3" xfId="1911"/>
    <cellStyle name="Normal 3 4 3" xfId="1325"/>
    <cellStyle name="Normal 3 4 4" xfId="1443"/>
    <cellStyle name="Normal 3 4 5" xfId="1573"/>
    <cellStyle name="Normal 3 4 6" xfId="1664"/>
    <cellStyle name="Normal 3 4 7" xfId="1744"/>
    <cellStyle name="Normal 3 4 8" xfId="1810"/>
    <cellStyle name="Normal 3 4 9" xfId="1854"/>
    <cellStyle name="Normal 3 5" xfId="448"/>
    <cellStyle name="Normal 3 6" xfId="547"/>
    <cellStyle name="Normal 3 7" xfId="581"/>
    <cellStyle name="Normal 3 7 2" xfId="995"/>
    <cellStyle name="Normal 3 7 3" xfId="1917"/>
    <cellStyle name="Normal 3 8" xfId="1432"/>
    <cellStyle name="Normal 3 9" xfId="1512"/>
    <cellStyle name="Normal 4" xfId="62"/>
    <cellStyle name="Normal 4 10" xfId="1628"/>
    <cellStyle name="Normal 4 11" xfId="1711"/>
    <cellStyle name="Normal 4 12" xfId="802"/>
    <cellStyle name="Normal 4 2" xfId="333"/>
    <cellStyle name="Normal 4 2 10" xfId="931"/>
    <cellStyle name="Normal 4 2 2" xfId="787"/>
    <cellStyle name="Normal 4 2 2 2" xfId="962"/>
    <cellStyle name="Normal 4 2 2 3" xfId="1901"/>
    <cellStyle name="Normal 4 2 3" xfId="1307"/>
    <cellStyle name="Normal 4 2 4" xfId="1059"/>
    <cellStyle name="Normal 4 2 5" xfId="1161"/>
    <cellStyle name="Normal 4 2 6" xfId="1605"/>
    <cellStyle name="Normal 4 2 7" xfId="1691"/>
    <cellStyle name="Normal 4 2 8" xfId="1769"/>
    <cellStyle name="Normal 4 2 9" xfId="1829"/>
    <cellStyle name="Normal 4 3" xfId="407"/>
    <cellStyle name="Normal 4 4" xfId="545"/>
    <cellStyle name="Normal 4 5" xfId="496"/>
    <cellStyle name="Normal 4 5 2" xfId="972"/>
    <cellStyle name="Normal 4 5 3" xfId="1906"/>
    <cellStyle name="Normal 4 6" xfId="1270"/>
    <cellStyle name="Normal 4 7" xfId="929"/>
    <cellStyle name="Normal 4 8" xfId="1486"/>
    <cellStyle name="Normal 4 9" xfId="1499"/>
    <cellStyle name="Normal 5" xfId="63"/>
    <cellStyle name="Normal 5 10" xfId="1659"/>
    <cellStyle name="Normal 5 11" xfId="1739"/>
    <cellStyle name="Normal 5 12" xfId="824"/>
    <cellStyle name="Normal 5 2" xfId="317"/>
    <cellStyle name="Normal 5 2 10" xfId="1441"/>
    <cellStyle name="Normal 5 2 11" xfId="950"/>
    <cellStyle name="Normal 5 2 12" xfId="1558"/>
    <cellStyle name="Normal 5 2 13" xfId="1652"/>
    <cellStyle name="Normal 5 2 2" xfId="414"/>
    <cellStyle name="Normal 5 2 2 10" xfId="1497"/>
    <cellStyle name="Normal 5 2 2 11" xfId="1626"/>
    <cellStyle name="Normal 5 2 2 12" xfId="1710"/>
    <cellStyle name="Normal 5 2 2 13" xfId="1784"/>
    <cellStyle name="Normal 5 2 2 2" xfId="411"/>
    <cellStyle name="Normal 5 2 2 3" xfId="454"/>
    <cellStyle name="Normal 5 2 2 4" xfId="291"/>
    <cellStyle name="Normal 5 2 2 5" xfId="365"/>
    <cellStyle name="Normal 5 2 2 6" xfId="1014"/>
    <cellStyle name="Normal 5 2 2 7" xfId="1372"/>
    <cellStyle name="Normal 5 2 2 8" xfId="1532"/>
    <cellStyle name="Normal 5 2 2 9" xfId="1315"/>
    <cellStyle name="Normal 5 2 3" xfId="463"/>
    <cellStyle name="Normal 5 2 4" xfId="471"/>
    <cellStyle name="Normal 5 2 5" xfId="290"/>
    <cellStyle name="Normal 5 2 6" xfId="951"/>
    <cellStyle name="Normal 5 2 7" xfId="1292"/>
    <cellStyle name="Normal 5 2 8" xfId="794"/>
    <cellStyle name="Normal 5 2 9" xfId="1057"/>
    <cellStyle name="Normal 5 3" xfId="442"/>
    <cellStyle name="Normal 5 3 10" xfId="956"/>
    <cellStyle name="Normal 5 3 2" xfId="788"/>
    <cellStyle name="Normal 5 3 2 2" xfId="1036"/>
    <cellStyle name="Normal 5 3 2 3" xfId="1933"/>
    <cellStyle name="Normal 5 3 3" xfId="1395"/>
    <cellStyle name="Normal 5 3 4" xfId="1349"/>
    <cellStyle name="Normal 5 3 5" xfId="1394"/>
    <cellStyle name="Normal 5 3 6" xfId="1318"/>
    <cellStyle name="Normal 5 3 7" xfId="1277"/>
    <cellStyle name="Normal 5 3 8" xfId="1463"/>
    <cellStyle name="Normal 5 3 9" xfId="1327"/>
    <cellStyle name="Normal 5 4" xfId="544"/>
    <cellStyle name="Normal 5 5" xfId="687"/>
    <cellStyle name="Normal 5 5 2" xfId="969"/>
    <cellStyle name="Normal 5 5 3" xfId="1904"/>
    <cellStyle name="Normal 5 6" xfId="1234"/>
    <cellStyle name="Normal 5 7" xfId="955"/>
    <cellStyle name="Normal 5 8" xfId="1191"/>
    <cellStyle name="Normal 5 9" xfId="1568"/>
    <cellStyle name="Normal 6" xfId="188"/>
    <cellStyle name="Normal 6 10" xfId="1446"/>
    <cellStyle name="Normal 6 11" xfId="1273"/>
    <cellStyle name="Normal 6 12" xfId="1268"/>
    <cellStyle name="Normal 6 13" xfId="1632"/>
    <cellStyle name="Normal 6 14" xfId="1715"/>
    <cellStyle name="Normal 6 2" xfId="302"/>
    <cellStyle name="Normal 6 3" xfId="444"/>
    <cellStyle name="Normal 6 4" xfId="460"/>
    <cellStyle name="Normal 6 5" xfId="342"/>
    <cellStyle name="Normal 6 6" xfId="345"/>
    <cellStyle name="Normal 6 7" xfId="859"/>
    <cellStyle name="Normal 6 8" xfId="1184"/>
    <cellStyle name="Normal 6 9" xfId="1334"/>
    <cellStyle name="Normal 7" xfId="95"/>
    <cellStyle name="Normal 7 10" xfId="1411"/>
    <cellStyle name="Normal 7 11" xfId="1554"/>
    <cellStyle name="Normal 7 12" xfId="1648"/>
    <cellStyle name="Normal 7 13" xfId="1730"/>
    <cellStyle name="Normal 7 14" xfId="1800"/>
    <cellStyle name="Normal 7 15" xfId="886"/>
    <cellStyle name="Normal 7 2" xfId="312"/>
    <cellStyle name="Normal 7 2 10" xfId="1355"/>
    <cellStyle name="Normal 7 2 11" xfId="1180"/>
    <cellStyle name="Normal 7 2 12" xfId="1338"/>
    <cellStyle name="Normal 7 2 13" xfId="766"/>
    <cellStyle name="Normal 7 2 2" xfId="399"/>
    <cellStyle name="Normal 7 2 3" xfId="432"/>
    <cellStyle name="Normal 7 2 4" xfId="293"/>
    <cellStyle name="Normal 7 2 5" xfId="343"/>
    <cellStyle name="Normal 7 2 6" xfId="946"/>
    <cellStyle name="Normal 7 2 7" xfId="1288"/>
    <cellStyle name="Normal 7 2 8" xfId="994"/>
    <cellStyle name="Normal 7 2 9" xfId="1175"/>
    <cellStyle name="Normal 7 3" xfId="438"/>
    <cellStyle name="Normal 7 4" xfId="292"/>
    <cellStyle name="Normal 7 5" xfId="355"/>
    <cellStyle name="Normal 7 6" xfId="259"/>
    <cellStyle name="Normal 7 6 10" xfId="772"/>
    <cellStyle name="Normal 7 6 2" xfId="809"/>
    <cellStyle name="Normal 7 6 2 2" xfId="897"/>
    <cellStyle name="Normal 7 6 2 3" xfId="1125"/>
    <cellStyle name="Normal 7 6 3" xfId="1241"/>
    <cellStyle name="Normal 7 6 4" xfId="1452"/>
    <cellStyle name="Normal 7 6 5" xfId="1556"/>
    <cellStyle name="Normal 7 6 6" xfId="1650"/>
    <cellStyle name="Normal 7 6 7" xfId="1732"/>
    <cellStyle name="Normal 7 6 8" xfId="1802"/>
    <cellStyle name="Normal 7 6 9" xfId="1848"/>
    <cellStyle name="Normal 7 7" xfId="633"/>
    <cellStyle name="Normal 7 8" xfId="684"/>
    <cellStyle name="Normal 7 8 2" xfId="767"/>
    <cellStyle name="Normal 7 8 3" xfId="1041"/>
    <cellStyle name="Normal 7 9" xfId="1213"/>
    <cellStyle name="Normal 8" xfId="394"/>
    <cellStyle name="Normal 8 2" xfId="391"/>
    <cellStyle name="Normal 9" xfId="53"/>
    <cellStyle name="Normal 9 10" xfId="1775"/>
    <cellStyle name="Normal 9 11" xfId="1833"/>
    <cellStyle name="Normal 9 12" xfId="569"/>
    <cellStyle name="Normal 9 2" xfId="387"/>
    <cellStyle name="Normal 9 2 10" xfId="726"/>
    <cellStyle name="Normal 9 2 2" xfId="779"/>
    <cellStyle name="Normal 9 2 2 2" xfId="999"/>
    <cellStyle name="Normal 9 2 2 3" xfId="1918"/>
    <cellStyle name="Normal 9 2 3" xfId="1351"/>
    <cellStyle name="Normal 9 2 4" xfId="1422"/>
    <cellStyle name="Normal 9 2 5" xfId="1202"/>
    <cellStyle name="Normal 9 2 6" xfId="1278"/>
    <cellStyle name="Normal 9 2 7" xfId="1209"/>
    <cellStyle name="Normal 9 2 8" xfId="1205"/>
    <cellStyle name="Normal 9 2 9" xfId="1312"/>
    <cellStyle name="Normal 9 3" xfId="535"/>
    <cellStyle name="Normal 9 4" xfId="560"/>
    <cellStyle name="Normal 9 5" xfId="616"/>
    <cellStyle name="Normal 9 5 2" xfId="1001"/>
    <cellStyle name="Normal 9 5 3" xfId="1919"/>
    <cellStyle name="Normal 9 6" xfId="1431"/>
    <cellStyle name="Normal 9 7" xfId="1483"/>
    <cellStyle name="Normal 9 8" xfId="1611"/>
    <cellStyle name="Normal 9 9" xfId="1697"/>
    <cellStyle name="Normal_Pesquisa no referencial 10 de maio de 2013" xfId="77"/>
    <cellStyle name="Normal_Plan2" xfId="190"/>
    <cellStyle name="Nota 2" xfId="383"/>
    <cellStyle name="Nota 2 10" xfId="1640"/>
    <cellStyle name="Nota 2 11" xfId="1722"/>
    <cellStyle name="Nota 2 12" xfId="1794"/>
    <cellStyle name="Nota 2 13" xfId="1845"/>
    <cellStyle name="Nota 2 2" xfId="379"/>
    <cellStyle name="Nota 2 3" xfId="427"/>
    <cellStyle name="Nota 2 4" xfId="294"/>
    <cellStyle name="Nota 2 5" xfId="354"/>
    <cellStyle name="Nota 2 6" xfId="997"/>
    <cellStyle name="Nota 2 7" xfId="1347"/>
    <cellStyle name="Nota 2 8" xfId="1031"/>
    <cellStyle name="Nota 2 9" xfId="1544"/>
    <cellStyle name="Nota 3" xfId="376"/>
    <cellStyle name="Note" xfId="54"/>
    <cellStyle name="Note 10" xfId="1750"/>
    <cellStyle name="Note 11" xfId="1816"/>
    <cellStyle name="Note 12" xfId="989"/>
    <cellStyle name="Note 2" xfId="253"/>
    <cellStyle name="Note 2 10" xfId="789"/>
    <cellStyle name="Note 2 2" xfId="780"/>
    <cellStyle name="Note 2 2 2" xfId="894"/>
    <cellStyle name="Note 2 2 3" xfId="1126"/>
    <cellStyle name="Note 2 3" xfId="1236"/>
    <cellStyle name="Note 2 4" xfId="1304"/>
    <cellStyle name="Note 2 5" xfId="1495"/>
    <cellStyle name="Note 2 6" xfId="1623"/>
    <cellStyle name="Note 2 7" xfId="1708"/>
    <cellStyle name="Note 2 8" xfId="1782"/>
    <cellStyle name="Note 2 9" xfId="1838"/>
    <cellStyle name="Note 3" xfId="621"/>
    <cellStyle name="Note 4" xfId="678"/>
    <cellStyle name="Note 5" xfId="727"/>
    <cellStyle name="Note 5 2" xfId="1003"/>
    <cellStyle name="Note 5 3" xfId="1920"/>
    <cellStyle name="Note 6" xfId="1430"/>
    <cellStyle name="Note 7" xfId="1513"/>
    <cellStyle name="Note 8" xfId="1580"/>
    <cellStyle name="Note 9" xfId="1671"/>
    <cellStyle name="Output" xfId="55"/>
    <cellStyle name="Output 10" xfId="1776"/>
    <cellStyle name="Output 11" xfId="1834"/>
    <cellStyle name="Output 12" xfId="782"/>
    <cellStyle name="Output 2" xfId="252"/>
    <cellStyle name="Output 2 10" xfId="777"/>
    <cellStyle name="Output 2 2" xfId="781"/>
    <cellStyle name="Output 2 2 2" xfId="893"/>
    <cellStyle name="Output 2 2 3" xfId="1111"/>
    <cellStyle name="Output 2 3" xfId="1235"/>
    <cellStyle name="Output 2 4" xfId="1479"/>
    <cellStyle name="Output 2 5" xfId="1557"/>
    <cellStyle name="Output 2 6" xfId="1651"/>
    <cellStyle name="Output 2 7" xfId="1733"/>
    <cellStyle name="Output 2 8" xfId="1803"/>
    <cellStyle name="Output 2 9" xfId="1849"/>
    <cellStyle name="Output 3" xfId="622"/>
    <cellStyle name="Output 4" xfId="679"/>
    <cellStyle name="Output 5" xfId="728"/>
    <cellStyle name="Output 5 2" xfId="979"/>
    <cellStyle name="Output 5 3" xfId="1910"/>
    <cellStyle name="Output 6" xfId="1429"/>
    <cellStyle name="Output 7" xfId="1484"/>
    <cellStyle name="Output 8" xfId="1612"/>
    <cellStyle name="Output 9" xfId="1698"/>
    <cellStyle name="Porcentagem" xfId="246" builtinId="5"/>
    <cellStyle name="Porcentagem 2" xfId="82"/>
    <cellStyle name="Porcentagem 2 10" xfId="124"/>
    <cellStyle name="Porcentagem 2 10 2" xfId="362"/>
    <cellStyle name="Porcentagem 2 10 3" xfId="821"/>
    <cellStyle name="Porcentagem 2 10 4" xfId="1105"/>
    <cellStyle name="Porcentagem 2 11" xfId="133"/>
    <cellStyle name="Porcentagem 2 11 2" xfId="371"/>
    <cellStyle name="Porcentagem 2 11 3" xfId="826"/>
    <cellStyle name="Porcentagem 2 11 4" xfId="1080"/>
    <cellStyle name="Porcentagem 2 12" xfId="100"/>
    <cellStyle name="Porcentagem 2 12 2" xfId="339"/>
    <cellStyle name="Porcentagem 2 12 3" xfId="813"/>
    <cellStyle name="Porcentagem 2 12 4" xfId="891"/>
    <cellStyle name="Porcentagem 2 13" xfId="135"/>
    <cellStyle name="Porcentagem 2 13 2" xfId="373"/>
    <cellStyle name="Porcentagem 2 13 3" xfId="827"/>
    <cellStyle name="Porcentagem 2 13 4" xfId="1093"/>
    <cellStyle name="Porcentagem 2 14" xfId="139"/>
    <cellStyle name="Porcentagem 2 14 2" xfId="377"/>
    <cellStyle name="Porcentagem 2 14 3" xfId="830"/>
    <cellStyle name="Porcentagem 2 14 4" xfId="688"/>
    <cellStyle name="Porcentagem 2 15" xfId="142"/>
    <cellStyle name="Porcentagem 2 15 2" xfId="380"/>
    <cellStyle name="Porcentagem 2 15 3" xfId="832"/>
    <cellStyle name="Porcentagem 2 15 4" xfId="576"/>
    <cellStyle name="Porcentagem 2 16" xfId="146"/>
    <cellStyle name="Porcentagem 2 16 2" xfId="384"/>
    <cellStyle name="Porcentagem 2 16 3" xfId="834"/>
    <cellStyle name="Porcentagem 2 16 4" xfId="1083"/>
    <cellStyle name="Porcentagem 2 17" xfId="150"/>
    <cellStyle name="Porcentagem 2 17 2" xfId="388"/>
    <cellStyle name="Porcentagem 2 17 3" xfId="837"/>
    <cellStyle name="Porcentagem 2 17 4" xfId="615"/>
    <cellStyle name="Porcentagem 2 18" xfId="154"/>
    <cellStyle name="Porcentagem 2 18 2" xfId="392"/>
    <cellStyle name="Porcentagem 2 18 3" xfId="840"/>
    <cellStyle name="Porcentagem 2 18 4" xfId="724"/>
    <cellStyle name="Porcentagem 2 19" xfId="157"/>
    <cellStyle name="Porcentagem 2 19 2" xfId="395"/>
    <cellStyle name="Porcentagem 2 19 3" xfId="841"/>
    <cellStyle name="Porcentagem 2 19 4" xfId="638"/>
    <cellStyle name="Porcentagem 2 2" xfId="56"/>
    <cellStyle name="Porcentagem 2 2 10" xfId="1672"/>
    <cellStyle name="Porcentagem 2 2 11" xfId="1751"/>
    <cellStyle name="Porcentagem 2 2 12" xfId="1817"/>
    <cellStyle name="Porcentagem 2 2 13" xfId="1085"/>
    <cellStyle name="Porcentagem 2 2 2" xfId="300"/>
    <cellStyle name="Porcentagem 2 2 3" xfId="369"/>
    <cellStyle name="Porcentagem 2 2 4" xfId="539"/>
    <cellStyle name="Porcentagem 2 2 5" xfId="556"/>
    <cellStyle name="Porcentagem 2 2 6" xfId="532"/>
    <cellStyle name="Porcentagem 2 2 6 2" xfId="928"/>
    <cellStyle name="Porcentagem 2 2 6 3" xfId="1887"/>
    <cellStyle name="Porcentagem 2 2 7" xfId="1428"/>
    <cellStyle name="Porcentagem 2 2 8" xfId="1514"/>
    <cellStyle name="Porcentagem 2 2 9" xfId="1581"/>
    <cellStyle name="Porcentagem 2 20" xfId="162"/>
    <cellStyle name="Porcentagem 2 20 2" xfId="400"/>
    <cellStyle name="Porcentagem 2 20 3" xfId="845"/>
    <cellStyle name="Porcentagem 2 20 4" xfId="722"/>
    <cellStyle name="Porcentagem 2 21" xfId="165"/>
    <cellStyle name="Porcentagem 2 21 2" xfId="403"/>
    <cellStyle name="Porcentagem 2 21 3" xfId="846"/>
    <cellStyle name="Porcentagem 2 21 4" xfId="1138"/>
    <cellStyle name="Porcentagem 2 22" xfId="170"/>
    <cellStyle name="Porcentagem 2 22 2" xfId="408"/>
    <cellStyle name="Porcentagem 2 22 3" xfId="849"/>
    <cellStyle name="Porcentagem 2 22 4" xfId="555"/>
    <cellStyle name="Porcentagem 2 23" xfId="178"/>
    <cellStyle name="Porcentagem 2 23 2" xfId="416"/>
    <cellStyle name="Porcentagem 2 23 3" xfId="854"/>
    <cellStyle name="Porcentagem 2 23 4" xfId="1137"/>
    <cellStyle name="Porcentagem 2 24" xfId="160"/>
    <cellStyle name="Porcentagem 2 24 2" xfId="398"/>
    <cellStyle name="Porcentagem 2 24 3" xfId="843"/>
    <cellStyle name="Porcentagem 2 24 4" xfId="554"/>
    <cellStyle name="Porcentagem 2 25" xfId="185"/>
    <cellStyle name="Porcentagem 2 25 2" xfId="423"/>
    <cellStyle name="Porcentagem 2 25 3" xfId="858"/>
    <cellStyle name="Porcentagem 2 25 4" xfId="1136"/>
    <cellStyle name="Porcentagem 2 26" xfId="191"/>
    <cellStyle name="Porcentagem 2 26 2" xfId="428"/>
    <cellStyle name="Porcentagem 2 26 3" xfId="860"/>
    <cellStyle name="Porcentagem 2 26 4" xfId="1135"/>
    <cellStyle name="Porcentagem 2 27" xfId="197"/>
    <cellStyle name="Porcentagem 2 27 2" xfId="433"/>
    <cellStyle name="Porcentagem 2 27 3" xfId="862"/>
    <cellStyle name="Porcentagem 2 27 4" xfId="1121"/>
    <cellStyle name="Porcentagem 2 28" xfId="203"/>
    <cellStyle name="Porcentagem 2 28 2" xfId="439"/>
    <cellStyle name="Porcentagem 2 28 3" xfId="866"/>
    <cellStyle name="Porcentagem 2 28 4" xfId="1119"/>
    <cellStyle name="Porcentagem 2 29" xfId="210"/>
    <cellStyle name="Porcentagem 2 29 2" xfId="446"/>
    <cellStyle name="Porcentagem 2 29 3" xfId="869"/>
    <cellStyle name="Porcentagem 2 29 4" xfId="506"/>
    <cellStyle name="Porcentagem 2 3" xfId="66"/>
    <cellStyle name="Porcentagem 2 3 10" xfId="1333"/>
    <cellStyle name="Porcentagem 2 3 11" xfId="1276"/>
    <cellStyle name="Porcentagem 2 3 12" xfId="1006"/>
    <cellStyle name="Porcentagem 2 3 13" xfId="851"/>
    <cellStyle name="Porcentagem 2 3 2" xfId="309"/>
    <cellStyle name="Porcentagem 2 3 3" xfId="346"/>
    <cellStyle name="Porcentagem 2 3 4" xfId="567"/>
    <cellStyle name="Porcentagem 2 3 5" xfId="510"/>
    <cellStyle name="Porcentagem 2 3 6" xfId="573"/>
    <cellStyle name="Porcentagem 2 3 6 2" xfId="937"/>
    <cellStyle name="Porcentagem 2 3 6 3" xfId="1892"/>
    <cellStyle name="Porcentagem 2 3 7" xfId="1207"/>
    <cellStyle name="Porcentagem 2 3 8" xfId="1508"/>
    <cellStyle name="Porcentagem 2 3 9" xfId="1291"/>
    <cellStyle name="Porcentagem 2 30" xfId="220"/>
    <cellStyle name="Porcentagem 2 30 2" xfId="456"/>
    <cellStyle name="Porcentagem 2 30 3" xfId="875"/>
    <cellStyle name="Porcentagem 2 30 4" xfId="1116"/>
    <cellStyle name="Porcentagem 2 31" xfId="228"/>
    <cellStyle name="Porcentagem 2 31 2" xfId="464"/>
    <cellStyle name="Porcentagem 2 31 3" xfId="879"/>
    <cellStyle name="Porcentagem 2 31 4" xfId="680"/>
    <cellStyle name="Porcentagem 2 32" xfId="232"/>
    <cellStyle name="Porcentagem 2 32 2" xfId="468"/>
    <cellStyle name="Porcentagem 2 32 3" xfId="880"/>
    <cellStyle name="Porcentagem 2 32 4" xfId="1115"/>
    <cellStyle name="Porcentagem 2 33" xfId="236"/>
    <cellStyle name="Porcentagem 2 33 2" xfId="472"/>
    <cellStyle name="Porcentagem 2 33 3" xfId="882"/>
    <cellStyle name="Porcentagem 2 33 4" xfId="1114"/>
    <cellStyle name="Porcentagem 2 34" xfId="241"/>
    <cellStyle name="Porcentagem 2 34 2" xfId="477"/>
    <cellStyle name="Porcentagem 2 34 3" xfId="885"/>
    <cellStyle name="Porcentagem 2 34 4" xfId="681"/>
    <cellStyle name="Porcentagem 2 35" xfId="372"/>
    <cellStyle name="Porcentagem 2 36" xfId="538"/>
    <cellStyle name="Porcentagem 2 37" xfId="553"/>
    <cellStyle name="Porcentagem 2 38" xfId="613"/>
    <cellStyle name="Porcentagem 2 38 2" xfId="983"/>
    <cellStyle name="Porcentagem 2 38 3" xfId="1912"/>
    <cellStyle name="Porcentagem 2 39" xfId="1414"/>
    <cellStyle name="Porcentagem 2 4" xfId="72"/>
    <cellStyle name="Porcentagem 2 4 2" xfId="315"/>
    <cellStyle name="Porcentagem 2 4 3" xfId="314"/>
    <cellStyle name="Porcentagem 2 4 4" xfId="583"/>
    <cellStyle name="Porcentagem 2 4 5" xfId="640"/>
    <cellStyle name="Porcentagem 2 4 6" xfId="691"/>
    <cellStyle name="Porcentagem 2 4 7" xfId="1089"/>
    <cellStyle name="Porcentagem 2 40" xfId="1363"/>
    <cellStyle name="Porcentagem 2 41" xfId="1586"/>
    <cellStyle name="Porcentagem 2 42" xfId="1676"/>
    <cellStyle name="Porcentagem 2 43" xfId="1754"/>
    <cellStyle name="Porcentagem 2 44" xfId="1818"/>
    <cellStyle name="Porcentagem 2 45" xfId="623"/>
    <cellStyle name="Porcentagem 2 5" xfId="92"/>
    <cellStyle name="Porcentagem 2 5 10" xfId="814"/>
    <cellStyle name="Porcentagem 2 5 2" xfId="331"/>
    <cellStyle name="Porcentagem 2 5 3" xfId="801"/>
    <cellStyle name="Porcentagem 2 5 3 2" xfId="924"/>
    <cellStyle name="Porcentagem 2 5 3 3" xfId="1885"/>
    <cellStyle name="Porcentagem 2 5 4" xfId="1225"/>
    <cellStyle name="Porcentagem 2 5 5" xfId="1222"/>
    <cellStyle name="Porcentagem 2 5 6" xfId="1607"/>
    <cellStyle name="Porcentagem 2 5 7" xfId="1693"/>
    <cellStyle name="Porcentagem 2 5 8" xfId="1771"/>
    <cellStyle name="Porcentagem 2 5 9" xfId="1831"/>
    <cellStyle name="Porcentagem 2 6" xfId="96"/>
    <cellStyle name="Porcentagem 2 6 2" xfId="335"/>
    <cellStyle name="Porcentagem 2 6 3" xfId="810"/>
    <cellStyle name="Porcentagem 2 6 4" xfId="771"/>
    <cellStyle name="Porcentagem 2 7" xfId="118"/>
    <cellStyle name="Porcentagem 2 7 2" xfId="356"/>
    <cellStyle name="Porcentagem 2 7 3" xfId="819"/>
    <cellStyle name="Porcentagem 2 7 4" xfId="861"/>
    <cellStyle name="Porcentagem 2 8" xfId="99"/>
    <cellStyle name="Porcentagem 2 8 2" xfId="338"/>
    <cellStyle name="Porcentagem 2 8 3" xfId="812"/>
    <cellStyle name="Porcentagem 2 8 4" xfId="1092"/>
    <cellStyle name="Porcentagem 2 9" xfId="120"/>
    <cellStyle name="Porcentagem 2 9 2" xfId="358"/>
    <cellStyle name="Porcentagem 2 9 3" xfId="820"/>
    <cellStyle name="Porcentagem 2 9 4" xfId="1032"/>
    <cellStyle name="Porcentagem 3" xfId="65"/>
    <cellStyle name="Porcentagem 3 10" xfId="1663"/>
    <cellStyle name="Porcentagem 3 11" xfId="1743"/>
    <cellStyle name="Porcentagem 3 12" xfId="1809"/>
    <cellStyle name="Porcentagem 3 13" xfId="836"/>
    <cellStyle name="Porcentagem 3 2" xfId="308"/>
    <cellStyle name="Porcentagem 3 3" xfId="282"/>
    <cellStyle name="Porcentagem 3 4" xfId="575"/>
    <cellStyle name="Porcentagem 3 5" xfId="504"/>
    <cellStyle name="Porcentagem 3 6" xfId="626"/>
    <cellStyle name="Porcentagem 3 6 2" xfId="1038"/>
    <cellStyle name="Porcentagem 3 6 3" xfId="1934"/>
    <cellStyle name="Porcentagem 3 7" xfId="1405"/>
    <cellStyle name="Porcentagem 3 8" xfId="1295"/>
    <cellStyle name="Porcentagem 3 9" xfId="1572"/>
    <cellStyle name="Porcentagem 7" xfId="209"/>
    <cellStyle name="Porcentagem 7 2" xfId="445"/>
    <cellStyle name="Porcentagem 7 3" xfId="868"/>
    <cellStyle name="Porcentagem 7 4" xfId="509"/>
    <cellStyle name="Porcentagem 8" xfId="219"/>
    <cellStyle name="Porcentagem 8 2" xfId="455"/>
    <cellStyle name="Porcentagem 8 3" xfId="874"/>
    <cellStyle name="Porcentagem 8 4" xfId="1132"/>
    <cellStyle name="Saída 2" xfId="57"/>
    <cellStyle name="Saída 2 10" xfId="1777"/>
    <cellStyle name="Saída 2 11" xfId="1835"/>
    <cellStyle name="Saída 2 12" xfId="1090"/>
    <cellStyle name="Saída 2 2" xfId="301"/>
    <cellStyle name="Saída 2 2 10" xfId="776"/>
    <cellStyle name="Saída 2 2 2" xfId="783"/>
    <cellStyle name="Saída 2 2 2 2" xfId="936"/>
    <cellStyle name="Saída 2 2 2 3" xfId="1891"/>
    <cellStyle name="Saída 2 2 3" xfId="1280"/>
    <cellStyle name="Saída 2 2 4" xfId="987"/>
    <cellStyle name="Saída 2 2 5" xfId="1348"/>
    <cellStyle name="Saída 2 2 6" xfId="1418"/>
    <cellStyle name="Saída 2 2 7" xfId="1534"/>
    <cellStyle name="Saída 2 2 8" xfId="1498"/>
    <cellStyle name="Saída 2 2 9" xfId="1627"/>
    <cellStyle name="Saída 2 3" xfId="540"/>
    <cellStyle name="Saída 2 4" xfId="530"/>
    <cellStyle name="Saída 2 5" xfId="533"/>
    <cellStyle name="Saída 2 5 2" xfId="1033"/>
    <cellStyle name="Saída 2 5 3" xfId="1930"/>
    <cellStyle name="Saída 2 6" xfId="1231"/>
    <cellStyle name="Saída 2 7" xfId="1485"/>
    <cellStyle name="Saída 2 8" xfId="1613"/>
    <cellStyle name="Saída 2 9" xfId="1699"/>
    <cellStyle name="Separador de milhares" xfId="75" builtinId="3"/>
    <cellStyle name="Separador de milhares 10" xfId="237"/>
    <cellStyle name="Separador de milhares 10 2" xfId="473"/>
    <cellStyle name="Separador de milhares 10 3" xfId="883"/>
    <cellStyle name="Separador de milhares 10 4" xfId="1130"/>
    <cellStyle name="Separador de milhares 2" xfId="475"/>
    <cellStyle name="Separador de milhares 2 10" xfId="131"/>
    <cellStyle name="Separador de milhares 2 11" xfId="134"/>
    <cellStyle name="Separador de milhares 2 12" xfId="138"/>
    <cellStyle name="Separador de milhares 2 13" xfId="141"/>
    <cellStyle name="Separador de milhares 2 14" xfId="145"/>
    <cellStyle name="Separador de milhares 2 15" xfId="149"/>
    <cellStyle name="Separador de milhares 2 16" xfId="153"/>
    <cellStyle name="Separador de milhares 2 17" xfId="156"/>
    <cellStyle name="Separador de milhares 2 18" xfId="161"/>
    <cellStyle name="Separador de milhares 2 19" xfId="164"/>
    <cellStyle name="Separador de milhares 2 2" xfId="58"/>
    <cellStyle name="Separador de milhares 2 2 10" xfId="1681"/>
    <cellStyle name="Separador de milhares 2 2 11" xfId="1759"/>
    <cellStyle name="Separador de milhares 2 2 12" xfId="811"/>
    <cellStyle name="Separador de milhares 2 2 2" xfId="470"/>
    <cellStyle name="Separador de milhares 2 2 2 10" xfId="1097"/>
    <cellStyle name="Separador de milhares 2 2 2 2" xfId="784"/>
    <cellStyle name="Separador de milhares 2 2 2 2 2" xfId="1053"/>
    <cellStyle name="Separador de milhares 2 2 2 2 3" xfId="1938"/>
    <cellStyle name="Separador de milhares 2 2 2 3" xfId="1417"/>
    <cellStyle name="Separador de milhares 2 2 2 4" xfId="1489"/>
    <cellStyle name="Separador de milhares 2 2 2 5" xfId="1617"/>
    <cellStyle name="Separador de milhares 2 2 2 6" xfId="1702"/>
    <cellStyle name="Separador de milhares 2 2 2 7" xfId="1778"/>
    <cellStyle name="Separador de milhares 2 2 2 8" xfId="1836"/>
    <cellStyle name="Separador de milhares 2 2 2 9" xfId="1859"/>
    <cellStyle name="Separador de milhares 2 2 3" xfId="326"/>
    <cellStyle name="Separador de milhares 2 2 4" xfId="635"/>
    <cellStyle name="Separador de milhares 2 2 5" xfId="686"/>
    <cellStyle name="Separador de milhares 2 2 5 2" xfId="970"/>
    <cellStyle name="Separador de milhares 2 2 5 3" xfId="1905"/>
    <cellStyle name="Separador de milhares 2 2 6" xfId="1232"/>
    <cellStyle name="Separador de milhares 2 2 7" xfId="1515"/>
    <cellStyle name="Separador de milhares 2 2 8" xfId="1526"/>
    <cellStyle name="Separador de milhares 2 2 9" xfId="1593"/>
    <cellStyle name="Separador de milhares 2 20" xfId="169"/>
    <cellStyle name="Separador de milhares 2 21" xfId="173"/>
    <cellStyle name="Separador de milhares 2 22" xfId="176"/>
    <cellStyle name="Separador de milhares 2 23" xfId="179"/>
    <cellStyle name="Separador de milhares 2 24" xfId="182"/>
    <cellStyle name="Separador de milhares 2 25" xfId="186"/>
    <cellStyle name="Separador de milhares 2 26" xfId="192"/>
    <cellStyle name="Separador de milhares 2 27" xfId="198"/>
    <cellStyle name="Separador de milhares 2 28" xfId="205"/>
    <cellStyle name="Separador de milhares 2 29" xfId="211"/>
    <cellStyle name="Separador de milhares 2 3" xfId="68"/>
    <cellStyle name="Separador de milhares 2 3 10" xfId="1755"/>
    <cellStyle name="Separador de milhares 2 3 11" xfId="1819"/>
    <cellStyle name="Separador de milhares 2 3 12" xfId="839"/>
    <cellStyle name="Separador de milhares 2 3 2" xfId="283"/>
    <cellStyle name="Separador de milhares 2 3 2 10" xfId="881"/>
    <cellStyle name="Separador de milhares 2 3 2 2" xfId="792"/>
    <cellStyle name="Separador de milhares 2 3 2 2 2" xfId="921"/>
    <cellStyle name="Separador de milhares 2 3 2 2 3" xfId="1883"/>
    <cellStyle name="Separador de milhares 2 3 2 3" xfId="1265"/>
    <cellStyle name="Separador de milhares 2 3 2 4" xfId="1469"/>
    <cellStyle name="Separador de milhares 2 3 2 5" xfId="1433"/>
    <cellStyle name="Separador de milhares 2 3 2 6" xfId="1482"/>
    <cellStyle name="Separador de milhares 2 3 2 7" xfId="1610"/>
    <cellStyle name="Separador de milhares 2 3 2 8" xfId="1696"/>
    <cellStyle name="Separador de milhares 2 3 2 9" xfId="1774"/>
    <cellStyle name="Separador de milhares 2 3 3" xfId="574"/>
    <cellStyle name="Separador de milhares 2 3 4" xfId="505"/>
    <cellStyle name="Separador de milhares 2 3 5" xfId="625"/>
    <cellStyle name="Separador de milhares 2 3 5 2" xfId="1054"/>
    <cellStyle name="Separador de milhares 2 3 5 3" xfId="1939"/>
    <cellStyle name="Separador de milhares 2 3 6" xfId="1271"/>
    <cellStyle name="Separador de milhares 2 3 7" xfId="1358"/>
    <cellStyle name="Separador de milhares 2 3 8" xfId="1587"/>
    <cellStyle name="Separador de milhares 2 3 9" xfId="1677"/>
    <cellStyle name="Separador de milhares 2 30" xfId="222"/>
    <cellStyle name="Separador de milhares 2 31" xfId="229"/>
    <cellStyle name="Separador de milhares 2 32" xfId="233"/>
    <cellStyle name="Separador de milhares 2 33" xfId="238"/>
    <cellStyle name="Separador de milhares 2 34" xfId="242"/>
    <cellStyle name="Separador de milhares 2 4" xfId="73"/>
    <cellStyle name="Separador de milhares 2 4 10" xfId="1799"/>
    <cellStyle name="Separador de milhares 2 4 11" xfId="1847"/>
    <cellStyle name="Separador de milhares 2 4 12" xfId="1043"/>
    <cellStyle name="Separador de milhares 2 4 2" xfId="462"/>
    <cellStyle name="Separador de milhares 2 4 2 10" xfId="865"/>
    <cellStyle name="Separador de milhares 2 4 2 2" xfId="795"/>
    <cellStyle name="Separador de milhares 2 4 2 2 2" xfId="1048"/>
    <cellStyle name="Separador de milhares 2 4 2 2 3" xfId="1937"/>
    <cellStyle name="Separador de milhares 2 4 2 3" xfId="1410"/>
    <cellStyle name="Separador de milhares 2 4 2 4" xfId="1370"/>
    <cellStyle name="Separador de milhares 2 4 2 5" xfId="1299"/>
    <cellStyle name="Separador de milhares 2 4 2 6" xfId="1631"/>
    <cellStyle name="Separador de milhares 2 4 2 7" xfId="1714"/>
    <cellStyle name="Separador de milhares 2 4 2 8" xfId="1787"/>
    <cellStyle name="Separador de milhares 2 4 2 9" xfId="1841"/>
    <cellStyle name="Separador de milhares 2 4 3" xfId="584"/>
    <cellStyle name="Separador de milhares 2 4 4" xfId="641"/>
    <cellStyle name="Separador de milhares 2 4 5" xfId="692"/>
    <cellStyle name="Separador de milhares 2 4 5 2" xfId="1012"/>
    <cellStyle name="Separador de milhares 2 4 5 3" xfId="1922"/>
    <cellStyle name="Separador de milhares 2 4 6" xfId="1471"/>
    <cellStyle name="Separador de milhares 2 4 7" xfId="1553"/>
    <cellStyle name="Separador de milhares 2 4 8" xfId="1647"/>
    <cellStyle name="Separador de milhares 2 4 9" xfId="1729"/>
    <cellStyle name="Separador de milhares 2 5" xfId="93"/>
    <cellStyle name="Separador de milhares 2 6" xfId="97"/>
    <cellStyle name="Separador de milhares 2 7" xfId="119"/>
    <cellStyle name="Separador de milhares 2 8" xfId="123"/>
    <cellStyle name="Separador de milhares 2 9" xfId="128"/>
    <cellStyle name="Separador de milhares 3" xfId="67"/>
    <cellStyle name="Separador de milhares 3 10" xfId="1319"/>
    <cellStyle name="Separador de milhares 3 11" xfId="1600"/>
    <cellStyle name="Separador de milhares 3 12" xfId="1687"/>
    <cellStyle name="Separador de milhares 3 13" xfId="1765"/>
    <cellStyle name="Separador de milhares 3 14" xfId="808"/>
    <cellStyle name="Separador de milhares 3 2" xfId="310"/>
    <cellStyle name="Separador de milhares 3 3" xfId="83"/>
    <cellStyle name="Separador de milhares 3 4" xfId="466"/>
    <cellStyle name="Separador de milhares 3 5" xfId="256"/>
    <cellStyle name="Separador de milhares 3 6" xfId="634"/>
    <cellStyle name="Separador de milhares 3 7" xfId="685"/>
    <cellStyle name="Separador de milhares 3 7 2" xfId="926"/>
    <cellStyle name="Separador de milhares 3 7 3" xfId="1886"/>
    <cellStyle name="Separador de milhares 3 8" xfId="1266"/>
    <cellStyle name="Separador de milhares 3 9" xfId="1156"/>
    <cellStyle name="Separador de milhares 4" xfId="459"/>
    <cellStyle name="Separador de milhares 4 2" xfId="322"/>
    <cellStyle name="Separador de milhares 4 2 10" xfId="1197"/>
    <cellStyle name="Separador de milhares 4 2 11" xfId="1274"/>
    <cellStyle name="Separador de milhares 4 2 12" xfId="1219"/>
    <cellStyle name="Separador de milhares 4 2 13" xfId="1354"/>
    <cellStyle name="Separador de milhares 4 2 2" xfId="299"/>
    <cellStyle name="Separador de milhares 4 2 3" xfId="422"/>
    <cellStyle name="Separador de milhares 4 2 4" xfId="348"/>
    <cellStyle name="Separador de milhares 4 2 5" xfId="344"/>
    <cellStyle name="Separador de milhares 4 2 6" xfId="954"/>
    <cellStyle name="Separador de milhares 4 2 7" xfId="1297"/>
    <cellStyle name="Separador de milhares 4 2 8" xfId="944"/>
    <cellStyle name="Separador de milhares 4 2 9" xfId="1381"/>
    <cellStyle name="Separador de milhares 5" xfId="204"/>
    <cellStyle name="Separador de milhares 5 2" xfId="440"/>
    <cellStyle name="Separador de milhares 5 2 10" xfId="1839"/>
    <cellStyle name="Separador de milhares 5 2 11" xfId="1860"/>
    <cellStyle name="Separador de milhares 5 2 12" xfId="853"/>
    <cellStyle name="Separador de milhares 5 2 2" xfId="352"/>
    <cellStyle name="Separador de milhares 5 2 2 10" xfId="1931"/>
    <cellStyle name="Separador de milhares 5 2 2 2" xfId="1034"/>
    <cellStyle name="Separador de milhares 5 2 2 2 2" xfId="977"/>
    <cellStyle name="Separador de milhares 5 2 2 2 3" xfId="1909"/>
    <cellStyle name="Separador de milhares 5 2 2 3" xfId="1320"/>
    <cellStyle name="Separador de milhares 5 2 2 4" xfId="1193"/>
    <cellStyle name="Separador de milhares 5 2 2 5" xfId="1289"/>
    <cellStyle name="Separador de milhares 5 2 2 6" xfId="1549"/>
    <cellStyle name="Separador de milhares 5 2 2 7" xfId="1644"/>
    <cellStyle name="Separador de milhares 5 2 2 8" xfId="1726"/>
    <cellStyle name="Separador de milhares 5 2 2 9" xfId="1797"/>
    <cellStyle name="Separador de milhares 5 2 3" xfId="566"/>
    <cellStyle name="Separador de milhares 5 2 4" xfId="511"/>
    <cellStyle name="Separador de milhares 5 2 5" xfId="568"/>
    <cellStyle name="Separador de milhares 5 2 5 2" xfId="1393"/>
    <cellStyle name="Separador de milhares 5 2 5 3" xfId="1961"/>
    <cellStyle name="Separador de milhares 5 2 6" xfId="1343"/>
    <cellStyle name="Separador de milhares 5 2 7" xfId="1624"/>
    <cellStyle name="Separador de milhares 5 2 8" xfId="1709"/>
    <cellStyle name="Separador de milhares 5 2 9" xfId="1783"/>
    <cellStyle name="Separador de milhares 5 3" xfId="298"/>
    <cellStyle name="Separador de milhares 5 4" xfId="542"/>
    <cellStyle name="Separador de milhares 5 5" xfId="529"/>
    <cellStyle name="Separador de milhares 5 6" xfId="677"/>
    <cellStyle name="Separador de milhares 5 7" xfId="1099"/>
    <cellStyle name="Separador de milhares 6" xfId="289"/>
    <cellStyle name="Separador de milhares 6 2" xfId="284"/>
    <cellStyle name="Separador de milhares 7" xfId="221"/>
    <cellStyle name="Separador de milhares 7 2" xfId="457"/>
    <cellStyle name="Separador de milhares 7 3" xfId="876"/>
    <cellStyle name="Separador de milhares 7 4" xfId="1131"/>
    <cellStyle name="Separador de milhares_Plan2" xfId="193"/>
    <cellStyle name="SUB" xfId="251"/>
    <cellStyle name="TableStyleLight1" xfId="288"/>
    <cellStyle name="Texto de Aviso 2" xfId="297"/>
    <cellStyle name="Texto Explicativo 2" xfId="334"/>
    <cellStyle name="Title" xfId="59"/>
    <cellStyle name="Título 1 1" xfId="249"/>
    <cellStyle name="Título 1 1 1" xfId="248"/>
    <cellStyle name="Título 1 1 1 1" xfId="482"/>
    <cellStyle name="Título 1 1 1 1 1" xfId="483"/>
    <cellStyle name="Título 1 1 1 1 1 1" xfId="484"/>
    <cellStyle name="Título 1 1 1 1 1 1 1" xfId="485"/>
    <cellStyle name="Título 1 1 1 1 1 1 1 1" xfId="486"/>
    <cellStyle name="Título 1 1 1 1 1 1 1 1 1" xfId="487"/>
    <cellStyle name="Título 1 1 1 1 1 1 1 1 1 1" xfId="488"/>
    <cellStyle name="Título 1 1 1 1 1 1 1 1 1 1 1" xfId="489"/>
    <cellStyle name="Título 1 1 1 1 1 1 1_Orçamento Itapaci" xfId="490"/>
    <cellStyle name="Título 1 1 1 1 1 1_Orçamento Itapaci" xfId="491"/>
    <cellStyle name="Título 1 1 1 1 1_Orçamento CCulturalItapurangaREV" xfId="492"/>
    <cellStyle name="Título 1 1 1 1_Orçamento CCulturalItapurangaREV" xfId="493"/>
    <cellStyle name="Título 1 1 1_Orçamento CCulturalItapurangaREV" xfId="494"/>
    <cellStyle name="Título 1 1_Orçamento CCulturalItapurangaREV" xfId="495"/>
    <cellStyle name="Título 1 2" xfId="426"/>
    <cellStyle name="Título 2 2" xfId="306"/>
    <cellStyle name="Título 3 2" xfId="305"/>
    <cellStyle name="Título 4 2" xfId="296"/>
    <cellStyle name="Título 5" xfId="307"/>
    <cellStyle name="Total 10" xfId="132"/>
    <cellStyle name="Total 11" xfId="136"/>
    <cellStyle name="Total 12" xfId="140"/>
    <cellStyle name="Total 13" xfId="143"/>
    <cellStyle name="Total 14" xfId="147"/>
    <cellStyle name="Total 15" xfId="151"/>
    <cellStyle name="Total 16" xfId="155"/>
    <cellStyle name="Total 17" xfId="158"/>
    <cellStyle name="Total 18" xfId="163"/>
    <cellStyle name="Total 19" xfId="166"/>
    <cellStyle name="Total 2" xfId="60"/>
    <cellStyle name="Total 20" xfId="171"/>
    <cellStyle name="Total 21" xfId="174"/>
    <cellStyle name="Total 22" xfId="177"/>
    <cellStyle name="Total 23" xfId="180"/>
    <cellStyle name="Total 24" xfId="183"/>
    <cellStyle name="Total 25" xfId="187"/>
    <cellStyle name="Total 26" xfId="194"/>
    <cellStyle name="Total 27" xfId="199"/>
    <cellStyle name="Total 28" xfId="206"/>
    <cellStyle name="Total 29" xfId="212"/>
    <cellStyle name="Total 3" xfId="69"/>
    <cellStyle name="Total 30" xfId="223"/>
    <cellStyle name="Total 31" xfId="230"/>
    <cellStyle name="Total 32" xfId="234"/>
    <cellStyle name="Total 33" xfId="239"/>
    <cellStyle name="Total 34" xfId="243"/>
    <cellStyle name="Total 4" xfId="74"/>
    <cellStyle name="Total 5" xfId="94"/>
    <cellStyle name="Total 6" xfId="98"/>
    <cellStyle name="Total 7" xfId="121"/>
    <cellStyle name="Total 8" xfId="125"/>
    <cellStyle name="Total 9" xfId="129"/>
    <cellStyle name="Vírgula 2" xfId="84"/>
    <cellStyle name="Vírgula 2 10" xfId="765"/>
    <cellStyle name="Vírgula 2 11" xfId="1206"/>
    <cellStyle name="Vírgula 2 12" xfId="1548"/>
    <cellStyle name="Vírgula 2 13" xfId="957"/>
    <cellStyle name="Vírgula 2 2" xfId="85"/>
    <cellStyle name="Vírgula 2 3" xfId="287"/>
    <cellStyle name="Vírgula 2 4" xfId="570"/>
    <cellStyle name="Vírgula 2 5" xfId="508"/>
    <cellStyle name="Vírgula 2 6" xfId="543"/>
    <cellStyle name="Vírgula 2 6 2" xfId="1035"/>
    <cellStyle name="Vírgula 2 6 3" xfId="1932"/>
    <cellStyle name="Vírgula 2 7" xfId="1287"/>
    <cellStyle name="Vírgula 2 8" xfId="1309"/>
    <cellStyle name="Vírgula 2 9" xfId="990"/>
    <cellStyle name="Vírgula 3" xfId="86"/>
    <cellStyle name="Vírgula 3 10" xfId="1768"/>
    <cellStyle name="Vírgula 3 11" xfId="1828"/>
    <cellStyle name="Vírgula 3 12" xfId="829"/>
    <cellStyle name="Vírgula 3 2" xfId="350"/>
    <cellStyle name="Vírgula 3 3" xfId="578"/>
    <cellStyle name="Vírgula 3 3 10" xfId="815"/>
    <cellStyle name="Vírgula 3 3 2" xfId="804"/>
    <cellStyle name="Vírgula 3 3 2 2" xfId="1103"/>
    <cellStyle name="Vírgula 3 3 2 3" xfId="1958"/>
    <cellStyle name="Vírgula 3 3 3" xfId="1477"/>
    <cellStyle name="Vírgula 3 3 4" xfId="1571"/>
    <cellStyle name="Vírgula 3 3 5" xfId="1662"/>
    <cellStyle name="Vírgula 3 3 6" xfId="1742"/>
    <cellStyle name="Vírgula 3 3 7" xfId="1808"/>
    <cellStyle name="Vírgula 3 3 8" xfId="1853"/>
    <cellStyle name="Vírgula 3 3 9" xfId="1862"/>
    <cellStyle name="Vírgula 3 4" xfId="501"/>
    <cellStyle name="Vírgula 3 5" xfId="629"/>
    <cellStyle name="Vírgula 3 5 2" xfId="968"/>
    <cellStyle name="Vírgula 3 5 3" xfId="1903"/>
    <cellStyle name="Vírgula 3 6" xfId="1011"/>
    <cellStyle name="Vírgula 3 7" xfId="734"/>
    <cellStyle name="Vírgula 3 8" xfId="1604"/>
    <cellStyle name="Vírgula 3 9" xfId="1690"/>
    <cellStyle name="Vírgula 4" xfId="498"/>
    <cellStyle name="Warning Text" xfId="61"/>
  </cellStyles>
  <dxfs count="3">
    <dxf>
      <font>
        <color theme="5" tint="0.79998168889431442"/>
      </font>
      <fill>
        <patternFill>
          <bgColor theme="9" tint="-0.24994659260841701"/>
        </patternFill>
      </fill>
    </dxf>
    <dxf>
      <font>
        <color theme="3" tint="0.79998168889431442"/>
      </font>
      <fill>
        <patternFill>
          <bgColor theme="4" tint="-0.24994659260841701"/>
        </patternFill>
      </fill>
    </dxf>
    <dxf>
      <font>
        <color theme="6" tint="0.79998168889431442"/>
      </font>
      <fill>
        <patternFill>
          <bgColor theme="6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CURVA</a:t>
            </a:r>
            <a:r>
              <a:rPr lang="en-US" baseline="0"/>
              <a:t> ABC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'Curva ABC '!$C$1</c:f>
              <c:strCache>
                <c:ptCount val="1"/>
                <c:pt idx="0">
                  <c:v>Acumulado</c:v>
                </c:pt>
              </c:strCache>
            </c:strRef>
          </c:tx>
          <c:marker>
            <c:symbol val="none"/>
          </c:marker>
          <c:yVal>
            <c:numRef>
              <c:f>'Curva ABC '!$C$2:$C$8</c:f>
              <c:numCache>
                <c:formatCode>0.00%</c:formatCode>
                <c:ptCount val="7"/>
                <c:pt idx="0">
                  <c:v>0.27163969579407732</c:v>
                </c:pt>
                <c:pt idx="1">
                  <c:v>0.52555853614124437</c:v>
                </c:pt>
                <c:pt idx="2">
                  <c:v>0.73580908748937546</c:v>
                </c:pt>
                <c:pt idx="3">
                  <c:v>0.88970523039051974</c:v>
                </c:pt>
                <c:pt idx="4">
                  <c:v>0.97366915403921839</c:v>
                </c:pt>
                <c:pt idx="5">
                  <c:v>0.98838775296663206</c:v>
                </c:pt>
                <c:pt idx="6">
                  <c:v>1</c:v>
                </c:pt>
              </c:numCache>
            </c:numRef>
          </c:yVal>
          <c:smooth val="1"/>
        </c:ser>
        <c:axId val="102747520"/>
        <c:axId val="104543360"/>
      </c:scatterChart>
      <c:valAx>
        <c:axId val="102747520"/>
        <c:scaling>
          <c:orientation val="minMax"/>
        </c:scaling>
        <c:axPos val="b"/>
        <c:tickLblPos val="nextTo"/>
        <c:crossAx val="104543360"/>
        <c:crosses val="autoZero"/>
        <c:crossBetween val="midCat"/>
      </c:valAx>
      <c:valAx>
        <c:axId val="104543360"/>
        <c:scaling>
          <c:orientation val="minMax"/>
        </c:scaling>
        <c:axPos val="l"/>
        <c:majorGridlines/>
        <c:numFmt formatCode="0.00%" sourceLinked="1"/>
        <c:tickLblPos val="nextTo"/>
        <c:crossAx val="10274752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150813</xdr:colOff>
      <xdr:row>0</xdr:row>
      <xdr:rowOff>31750</xdr:rowOff>
    </xdr:from>
    <xdr:to>
      <xdr:col>6</xdr:col>
      <xdr:colOff>781040</xdr:colOff>
      <xdr:row>2</xdr:row>
      <xdr:rowOff>162723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99313" y="31750"/>
          <a:ext cx="630227" cy="511973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150813</xdr:colOff>
      <xdr:row>0</xdr:row>
      <xdr:rowOff>31750</xdr:rowOff>
    </xdr:from>
    <xdr:to>
      <xdr:col>6</xdr:col>
      <xdr:colOff>781040</xdr:colOff>
      <xdr:row>2</xdr:row>
      <xdr:rowOff>138910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9813" y="31750"/>
          <a:ext cx="630227" cy="51673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33</xdr:col>
      <xdr:colOff>755612</xdr:colOff>
      <xdr:row>0</xdr:row>
      <xdr:rowOff>30066</xdr:rowOff>
    </xdr:from>
    <xdr:to>
      <xdr:col>33</xdr:col>
      <xdr:colOff>759713</xdr:colOff>
      <xdr:row>1</xdr:row>
      <xdr:rowOff>174807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49437" y="30066"/>
          <a:ext cx="4101" cy="344766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23812</xdr:colOff>
      <xdr:row>0</xdr:row>
      <xdr:rowOff>23812</xdr:rowOff>
    </xdr:from>
    <xdr:to>
      <xdr:col>8</xdr:col>
      <xdr:colOff>612907</xdr:colOff>
      <xdr:row>1</xdr:row>
      <xdr:rowOff>168553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3962" y="23812"/>
          <a:ext cx="589095" cy="344766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150813</xdr:colOff>
      <xdr:row>0</xdr:row>
      <xdr:rowOff>31750</xdr:rowOff>
    </xdr:from>
    <xdr:to>
      <xdr:col>6</xdr:col>
      <xdr:colOff>781040</xdr:colOff>
      <xdr:row>2</xdr:row>
      <xdr:rowOff>138910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42188" y="31750"/>
          <a:ext cx="630227" cy="511973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33</xdr:col>
      <xdr:colOff>755612</xdr:colOff>
      <xdr:row>0</xdr:row>
      <xdr:rowOff>30066</xdr:rowOff>
    </xdr:from>
    <xdr:to>
      <xdr:col>33</xdr:col>
      <xdr:colOff>759713</xdr:colOff>
      <xdr:row>1</xdr:row>
      <xdr:rowOff>174807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83212" y="420591"/>
          <a:ext cx="5424" cy="352704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23812</xdr:colOff>
      <xdr:row>0</xdr:row>
      <xdr:rowOff>23812</xdr:rowOff>
    </xdr:from>
    <xdr:to>
      <xdr:col>8</xdr:col>
      <xdr:colOff>612907</xdr:colOff>
      <xdr:row>1</xdr:row>
      <xdr:rowOff>168553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06087" y="414337"/>
          <a:ext cx="587507" cy="352704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36</xdr:row>
      <xdr:rowOff>9525</xdr:rowOff>
    </xdr:from>
    <xdr:to>
      <xdr:col>3</xdr:col>
      <xdr:colOff>361950</xdr:colOff>
      <xdr:row>39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7877175"/>
          <a:ext cx="7048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57150</xdr:rowOff>
    </xdr:from>
    <xdr:to>
      <xdr:col>5</xdr:col>
      <xdr:colOff>114300</xdr:colOff>
      <xdr:row>24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inthiaSES/Petrus/Servi&#231;os%202011/Eduardo/Clinica/Servi&#231;os%202010/Petruseng/Orla/EXECUTIVO%20ORLA%20PALMAS/Servi&#231;os/Renato/Biblioteca/Revis&#227;o/Servi&#231;os/UFG/CEU/Servi&#231;os/Sao%20Jose/GRCS%20XXX08%20PV%20SAO%20JO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ExternoRecupera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inthiaSES/Petrus/Servi&#231;os%202011/Eduardo/Clinica/Servi&#231;os%202010/Petruseng/Servi&#231;os/Renato/Biblioteca/Revis&#227;o/Servi&#231;os/UFG/CEU/Servi&#231;os/Sao%20Jose/GRCS%20XXX08%20PV%20SAO%20JOS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O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O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topLeftCell="B49" workbookViewId="0">
      <selection activeCell="F53" sqref="F53"/>
    </sheetView>
  </sheetViews>
  <sheetFormatPr defaultRowHeight="15"/>
  <cols>
    <col min="1" max="1" width="5.28515625" customWidth="1"/>
    <col min="2" max="2" width="16.140625" bestFit="1" customWidth="1"/>
    <col min="3" max="3" width="104.42578125" customWidth="1"/>
    <col min="4" max="4" width="9.5703125" customWidth="1"/>
    <col min="5" max="6" width="12.7109375" customWidth="1"/>
    <col min="7" max="7" width="14.7109375" customWidth="1"/>
    <col min="8" max="8" width="13.7109375" hidden="1" customWidth="1"/>
    <col min="9" max="9" width="12.42578125" hidden="1" customWidth="1"/>
    <col min="10" max="11" width="0" hidden="1" customWidth="1"/>
    <col min="12" max="12" width="12.42578125" hidden="1" customWidth="1"/>
    <col min="13" max="15" width="0" hidden="1" customWidth="1"/>
    <col min="16" max="16" width="12.42578125" hidden="1" customWidth="1"/>
    <col min="17" max="17" width="14.5703125" hidden="1" customWidth="1"/>
    <col min="19" max="19" width="12.42578125" bestFit="1" customWidth="1"/>
  </cols>
  <sheetData>
    <row r="1" spans="1:13">
      <c r="A1" s="591" t="s">
        <v>0</v>
      </c>
      <c r="B1" s="592"/>
      <c r="C1" s="593" t="s">
        <v>1</v>
      </c>
      <c r="D1" s="593"/>
      <c r="E1" s="593"/>
      <c r="F1" s="593"/>
      <c r="G1" s="594"/>
      <c r="H1" s="59"/>
    </row>
    <row r="2" spans="1:13">
      <c r="A2" s="603" t="s">
        <v>2</v>
      </c>
      <c r="B2" s="604"/>
      <c r="C2" s="605" t="s">
        <v>335</v>
      </c>
      <c r="D2" s="605"/>
      <c r="E2" s="605"/>
      <c r="F2" s="605"/>
      <c r="G2" s="595"/>
      <c r="H2" s="59"/>
    </row>
    <row r="3" spans="1:13" ht="15.75" thickBot="1">
      <c r="A3" s="606" t="s">
        <v>3</v>
      </c>
      <c r="B3" s="607"/>
      <c r="C3" s="608" t="s">
        <v>4</v>
      </c>
      <c r="D3" s="608"/>
      <c r="E3" s="608"/>
      <c r="F3" s="608"/>
      <c r="G3" s="596"/>
      <c r="H3" s="59"/>
    </row>
    <row r="4" spans="1:13">
      <c r="A4" s="597" t="s">
        <v>5</v>
      </c>
      <c r="B4" s="598"/>
      <c r="C4" s="601" t="s">
        <v>6</v>
      </c>
      <c r="D4" s="601"/>
      <c r="E4" s="602" t="s">
        <v>595</v>
      </c>
      <c r="F4" s="602"/>
      <c r="G4" s="602"/>
      <c r="H4" s="59"/>
    </row>
    <row r="5" spans="1:13">
      <c r="A5" s="599"/>
      <c r="B5" s="600"/>
      <c r="C5" s="601"/>
      <c r="D5" s="601"/>
      <c r="E5" s="602" t="s">
        <v>337</v>
      </c>
      <c r="F5" s="602"/>
      <c r="G5" s="602"/>
      <c r="H5" s="59"/>
    </row>
    <row r="6" spans="1:13" ht="25.5" customHeight="1" thickBot="1">
      <c r="A6" s="216" t="s">
        <v>7</v>
      </c>
      <c r="B6" s="215" t="s">
        <v>8</v>
      </c>
      <c r="C6" s="214" t="s">
        <v>9</v>
      </c>
      <c r="D6" s="213" t="s">
        <v>10</v>
      </c>
      <c r="E6" s="212" t="s">
        <v>11</v>
      </c>
      <c r="F6" s="211" t="s">
        <v>12</v>
      </c>
      <c r="G6" s="210" t="s">
        <v>13</v>
      </c>
      <c r="H6" s="59"/>
    </row>
    <row r="7" spans="1:13">
      <c r="A7" s="137">
        <v>1</v>
      </c>
      <c r="B7" s="90"/>
      <c r="C7" s="220" t="s">
        <v>594</v>
      </c>
      <c r="D7" s="219"/>
      <c r="E7" s="218"/>
      <c r="F7" s="217"/>
      <c r="G7" s="217"/>
      <c r="H7" s="129"/>
    </row>
    <row r="8" spans="1:13" ht="25.5" customHeight="1">
      <c r="A8" s="521" t="s">
        <v>15</v>
      </c>
      <c r="B8" s="518" t="s">
        <v>40</v>
      </c>
      <c r="C8" s="502" t="s">
        <v>631</v>
      </c>
      <c r="D8" s="503" t="s">
        <v>128</v>
      </c>
      <c r="E8" s="505">
        <v>1</v>
      </c>
      <c r="F8" s="507">
        <v>218.54</v>
      </c>
      <c r="G8" s="507">
        <f t="shared" ref="G8:G23" si="0">E8*F8</f>
        <v>218.54</v>
      </c>
      <c r="H8" s="125"/>
    </row>
    <row r="9" spans="1:13" ht="22.5">
      <c r="A9" s="524" t="s">
        <v>18</v>
      </c>
      <c r="B9" s="520" t="s">
        <v>241</v>
      </c>
      <c r="C9" s="516" t="s">
        <v>240</v>
      </c>
      <c r="D9" s="515" t="s">
        <v>25</v>
      </c>
      <c r="E9" s="513">
        <v>912.94</v>
      </c>
      <c r="F9" s="511">
        <v>0.66</v>
      </c>
      <c r="G9" s="509">
        <f t="shared" si="0"/>
        <v>602.54040000000009</v>
      </c>
      <c r="H9" s="125"/>
    </row>
    <row r="10" spans="1:13">
      <c r="A10" s="525" t="s">
        <v>21</v>
      </c>
      <c r="B10" s="520" t="s">
        <v>42</v>
      </c>
      <c r="C10" s="590" t="s">
        <v>420</v>
      </c>
      <c r="D10" s="515" t="s">
        <v>25</v>
      </c>
      <c r="E10" s="558">
        <v>3</v>
      </c>
      <c r="F10" s="551">
        <v>348.01</v>
      </c>
      <c r="G10" s="511">
        <f t="shared" si="0"/>
        <v>1044.03</v>
      </c>
      <c r="H10" s="125"/>
    </row>
    <row r="11" spans="1:13" s="59" customFormat="1" ht="27.75" customHeight="1">
      <c r="A11" s="524" t="s">
        <v>338</v>
      </c>
      <c r="B11" s="526" t="s">
        <v>42</v>
      </c>
      <c r="C11" s="556" t="s">
        <v>596</v>
      </c>
      <c r="D11" s="553" t="s">
        <v>25</v>
      </c>
      <c r="E11" s="513">
        <v>6</v>
      </c>
      <c r="F11" s="511">
        <v>348.01</v>
      </c>
      <c r="G11" s="560">
        <f t="shared" si="0"/>
        <v>2088.06</v>
      </c>
      <c r="H11" s="125"/>
      <c r="I11" s="241" t="s">
        <v>523</v>
      </c>
    </row>
    <row r="12" spans="1:13" ht="36">
      <c r="A12" s="524" t="s">
        <v>339</v>
      </c>
      <c r="B12" s="526" t="s">
        <v>246</v>
      </c>
      <c r="C12" s="556" t="s">
        <v>598</v>
      </c>
      <c r="D12" s="589" t="s">
        <v>19</v>
      </c>
      <c r="E12" s="513">
        <v>3</v>
      </c>
      <c r="F12" s="588">
        <f>394.53+133.3333</f>
        <v>527.86329999999998</v>
      </c>
      <c r="G12" s="560">
        <f t="shared" si="0"/>
        <v>1583.5898999999999</v>
      </c>
      <c r="H12" s="125"/>
    </row>
    <row r="13" spans="1:13" ht="36">
      <c r="A13" s="524" t="s">
        <v>340</v>
      </c>
      <c r="B13" s="526" t="s">
        <v>246</v>
      </c>
      <c r="C13" s="583" t="s">
        <v>597</v>
      </c>
      <c r="D13" s="587" t="s">
        <v>19</v>
      </c>
      <c r="E13" s="513">
        <v>3</v>
      </c>
      <c r="F13" s="511">
        <f>394.53+133.3333</f>
        <v>527.86329999999998</v>
      </c>
      <c r="G13" s="560">
        <f t="shared" si="0"/>
        <v>1583.5898999999999</v>
      </c>
      <c r="H13" s="125"/>
      <c r="M13" s="241"/>
    </row>
    <row r="14" spans="1:13" ht="24">
      <c r="A14" s="525" t="s">
        <v>341</v>
      </c>
      <c r="B14" s="528" t="s">
        <v>629</v>
      </c>
      <c r="C14" s="585" t="s">
        <v>599</v>
      </c>
      <c r="D14" s="586" t="s">
        <v>516</v>
      </c>
      <c r="E14" s="513">
        <f>39.3*4+28.3*4+16*3</f>
        <v>318.39999999999998</v>
      </c>
      <c r="F14" s="511">
        <v>19.350000000000001</v>
      </c>
      <c r="G14" s="511">
        <f t="shared" si="0"/>
        <v>6161.04</v>
      </c>
      <c r="H14" s="128" t="s">
        <v>287</v>
      </c>
      <c r="I14" s="241"/>
      <c r="K14" s="241"/>
    </row>
    <row r="15" spans="1:13" ht="19.5" customHeight="1">
      <c r="A15" s="524" t="s">
        <v>342</v>
      </c>
      <c r="B15" s="529">
        <v>97064</v>
      </c>
      <c r="C15" s="585" t="s">
        <v>255</v>
      </c>
      <c r="D15" s="580" t="s">
        <v>26</v>
      </c>
      <c r="E15" s="568">
        <f>(36.4+28.3)*2+16*3</f>
        <v>177.4</v>
      </c>
      <c r="F15" s="560">
        <v>13.27</v>
      </c>
      <c r="G15" s="560">
        <f t="shared" si="0"/>
        <v>2354.098</v>
      </c>
      <c r="H15" s="128"/>
    </row>
    <row r="16" spans="1:13" ht="27" customHeight="1">
      <c r="A16" s="524" t="s">
        <v>343</v>
      </c>
      <c r="B16" s="530">
        <v>97066</v>
      </c>
      <c r="C16" s="584" t="s">
        <v>282</v>
      </c>
      <c r="D16" s="553" t="s">
        <v>25</v>
      </c>
      <c r="E16" s="568">
        <f>16*1.7</f>
        <v>27.2</v>
      </c>
      <c r="F16" s="560">
        <v>144.54</v>
      </c>
      <c r="G16" s="560">
        <f t="shared" si="0"/>
        <v>3931.4879999999998</v>
      </c>
      <c r="H16" s="128" t="s">
        <v>274</v>
      </c>
    </row>
    <row r="17" spans="1:17" s="59" customFormat="1" ht="25.5" customHeight="1">
      <c r="A17" s="524" t="s">
        <v>344</v>
      </c>
      <c r="B17" s="530" t="s">
        <v>47</v>
      </c>
      <c r="C17" s="583" t="s">
        <v>600</v>
      </c>
      <c r="D17" s="515" t="s">
        <v>25</v>
      </c>
      <c r="E17" s="558">
        <f>28.3*4</f>
        <v>113.2</v>
      </c>
      <c r="F17" s="560">
        <v>3.29</v>
      </c>
      <c r="G17" s="551">
        <f t="shared" si="0"/>
        <v>372.428</v>
      </c>
      <c r="H17" s="128"/>
    </row>
    <row r="18" spans="1:17" ht="26.25" customHeight="1">
      <c r="A18" s="525" t="s">
        <v>345</v>
      </c>
      <c r="B18" s="531" t="s">
        <v>45</v>
      </c>
      <c r="C18" s="582" t="s">
        <v>601</v>
      </c>
      <c r="D18" s="553" t="s">
        <v>25</v>
      </c>
      <c r="E18" s="513">
        <f>(28.3+36.4)*2.2</f>
        <v>142.34000000000003</v>
      </c>
      <c r="F18" s="551">
        <v>47.8</v>
      </c>
      <c r="G18" s="511">
        <f t="shared" si="0"/>
        <v>6803.8520000000008</v>
      </c>
      <c r="H18" s="128" t="s">
        <v>274</v>
      </c>
    </row>
    <row r="19" spans="1:17" ht="37.5" customHeight="1">
      <c r="A19" s="532" t="s">
        <v>346</v>
      </c>
      <c r="B19" s="529">
        <v>85424</v>
      </c>
      <c r="C19" s="582" t="s">
        <v>602</v>
      </c>
      <c r="D19" s="515" t="s">
        <v>25</v>
      </c>
      <c r="E19" s="513">
        <f>(36.4+28.3)*2.1</f>
        <v>135.87</v>
      </c>
      <c r="F19" s="511">
        <v>20.51</v>
      </c>
      <c r="G19" s="511">
        <f t="shared" si="0"/>
        <v>2786.6937000000003</v>
      </c>
      <c r="H19" s="125"/>
    </row>
    <row r="20" spans="1:17" ht="24">
      <c r="A20" s="532" t="s">
        <v>347</v>
      </c>
      <c r="B20" s="529">
        <v>68053</v>
      </c>
      <c r="C20" s="581" t="s">
        <v>438</v>
      </c>
      <c r="D20" s="580" t="s">
        <v>25</v>
      </c>
      <c r="E20" s="513">
        <v>258.8</v>
      </c>
      <c r="F20" s="560">
        <v>4.74</v>
      </c>
      <c r="G20" s="560">
        <f t="shared" si="0"/>
        <v>1226.7120000000002</v>
      </c>
      <c r="H20" s="125"/>
    </row>
    <row r="21" spans="1:17" ht="18" customHeight="1">
      <c r="A21" s="532" t="s">
        <v>348</v>
      </c>
      <c r="B21" s="533">
        <v>72897</v>
      </c>
      <c r="C21" s="578" t="s">
        <v>250</v>
      </c>
      <c r="D21" s="515" t="s">
        <v>22</v>
      </c>
      <c r="E21" s="558">
        <f>(E26+E29+E56+E57)*1.3</f>
        <v>112.68400000000001</v>
      </c>
      <c r="F21" s="551">
        <v>16.7</v>
      </c>
      <c r="G21" s="551">
        <f t="shared" si="0"/>
        <v>1881.8228000000001</v>
      </c>
      <c r="H21" s="125"/>
      <c r="I21">
        <f>12*3.14*0.15*0.15*8</f>
        <v>6.7824</v>
      </c>
      <c r="M21">
        <v>112.68</v>
      </c>
    </row>
    <row r="22" spans="1:17">
      <c r="A22" s="532" t="s">
        <v>415</v>
      </c>
      <c r="B22" s="535" t="s">
        <v>629</v>
      </c>
      <c r="C22" s="577" t="s">
        <v>439</v>
      </c>
      <c r="D22" s="553" t="s">
        <v>128</v>
      </c>
      <c r="E22" s="579">
        <v>23</v>
      </c>
      <c r="F22" s="511">
        <v>255</v>
      </c>
      <c r="G22" s="511">
        <f t="shared" si="0"/>
        <v>5865</v>
      </c>
      <c r="H22" s="125"/>
      <c r="I22">
        <f>0.4*1*0.5*12</f>
        <v>2.4000000000000004</v>
      </c>
      <c r="K22">
        <f>E21/5</f>
        <v>22.536800000000003</v>
      </c>
    </row>
    <row r="23" spans="1:17" ht="24">
      <c r="A23" s="522" t="s">
        <v>424</v>
      </c>
      <c r="B23" s="536">
        <v>90776</v>
      </c>
      <c r="C23" s="576" t="s">
        <v>603</v>
      </c>
      <c r="D23" s="504" t="s">
        <v>20</v>
      </c>
      <c r="E23" s="506">
        <f>8*5*10</f>
        <v>400</v>
      </c>
      <c r="F23" s="508">
        <v>16.78</v>
      </c>
      <c r="G23" s="510">
        <f t="shared" si="0"/>
        <v>6712</v>
      </c>
      <c r="H23" s="125" t="s">
        <v>274</v>
      </c>
      <c r="I23" s="30">
        <f>8*15/12</f>
        <v>10</v>
      </c>
      <c r="K23">
        <f>8*5*8</f>
        <v>320</v>
      </c>
      <c r="M23">
        <f>8*5*10</f>
        <v>400</v>
      </c>
      <c r="P23" s="30">
        <f>SUM(G8:G23)</f>
        <v>45215.484700000001</v>
      </c>
      <c r="Q23" s="5">
        <f>P23*1.2049</f>
        <v>54480.137515030008</v>
      </c>
    </row>
    <row r="24" spans="1:17">
      <c r="A24" s="239">
        <v>2</v>
      </c>
      <c r="B24" s="90"/>
      <c r="C24" s="220" t="s">
        <v>410</v>
      </c>
      <c r="D24" s="219"/>
      <c r="E24" s="218"/>
      <c r="F24" s="217"/>
      <c r="G24" s="217"/>
      <c r="H24" s="129"/>
    </row>
    <row r="25" spans="1:17" ht="24">
      <c r="A25" s="521" t="s">
        <v>23</v>
      </c>
      <c r="B25" s="537">
        <v>73686</v>
      </c>
      <c r="C25" s="562" t="s">
        <v>604</v>
      </c>
      <c r="D25" s="548" t="s">
        <v>25</v>
      </c>
      <c r="E25" s="559">
        <v>96.22</v>
      </c>
      <c r="F25" s="549">
        <v>16.96</v>
      </c>
      <c r="G25" s="549">
        <f>F25*E25</f>
        <v>1631.8912</v>
      </c>
      <c r="H25" s="128"/>
    </row>
    <row r="26" spans="1:17" ht="22.5">
      <c r="A26" s="532" t="s">
        <v>24</v>
      </c>
      <c r="B26" s="538" t="s">
        <v>605</v>
      </c>
      <c r="C26" s="572" t="s">
        <v>58</v>
      </c>
      <c r="D26" s="553" t="s">
        <v>22</v>
      </c>
      <c r="E26" s="558">
        <v>4.82</v>
      </c>
      <c r="F26" s="551">
        <v>177.68</v>
      </c>
      <c r="G26" s="560">
        <f>F26*E26</f>
        <v>856.41760000000011</v>
      </c>
      <c r="H26" s="125"/>
    </row>
    <row r="27" spans="1:17" s="59" customFormat="1" ht="22.5">
      <c r="A27" s="524" t="s">
        <v>311</v>
      </c>
      <c r="B27" s="528" t="s">
        <v>441</v>
      </c>
      <c r="C27" s="571" t="s">
        <v>442</v>
      </c>
      <c r="D27" s="573" t="s">
        <v>26</v>
      </c>
      <c r="E27" s="513">
        <f>28.3*2</f>
        <v>56.6</v>
      </c>
      <c r="F27" s="511">
        <v>6.83</v>
      </c>
      <c r="G27" s="551">
        <f>E27*F27</f>
        <v>386.57800000000003</v>
      </c>
      <c r="H27" s="125"/>
    </row>
    <row r="28" spans="1:17" ht="36">
      <c r="A28" s="525" t="s">
        <v>312</v>
      </c>
      <c r="B28" s="535" t="s">
        <v>606</v>
      </c>
      <c r="C28" s="564" t="s">
        <v>444</v>
      </c>
      <c r="D28" s="574" t="s">
        <v>26</v>
      </c>
      <c r="E28" s="513">
        <v>96</v>
      </c>
      <c r="F28" s="511">
        <f>(59.86/9)*8</f>
        <v>53.208888888888886</v>
      </c>
      <c r="G28" s="511">
        <f>F28*E28</f>
        <v>5108.0533333333333</v>
      </c>
      <c r="H28" s="125"/>
      <c r="K28">
        <f>F28/9</f>
        <v>5.9120987654320984</v>
      </c>
      <c r="L28">
        <f>K28*8</f>
        <v>47.296790123456788</v>
      </c>
    </row>
    <row r="29" spans="1:17">
      <c r="A29" s="532" t="s">
        <v>313</v>
      </c>
      <c r="B29" s="538">
        <v>96523</v>
      </c>
      <c r="C29" s="565" t="s">
        <v>57</v>
      </c>
      <c r="D29" s="575" t="s">
        <v>22</v>
      </c>
      <c r="E29" s="558">
        <v>7.06</v>
      </c>
      <c r="F29" s="551">
        <v>61.61</v>
      </c>
      <c r="G29" s="511">
        <f>E29*F29</f>
        <v>434.96659999999997</v>
      </c>
      <c r="H29" s="125"/>
      <c r="K29" s="273"/>
    </row>
    <row r="30" spans="1:17" ht="24">
      <c r="A30" s="532" t="s">
        <v>314</v>
      </c>
      <c r="B30" s="528">
        <v>96537</v>
      </c>
      <c r="C30" s="564" t="s">
        <v>67</v>
      </c>
      <c r="D30" s="557" t="s">
        <v>25</v>
      </c>
      <c r="E30" s="513">
        <v>19.8</v>
      </c>
      <c r="F30" s="509">
        <v>118.36</v>
      </c>
      <c r="G30" s="511">
        <f>E30*F30</f>
        <v>2343.5280000000002</v>
      </c>
      <c r="H30" s="125"/>
    </row>
    <row r="31" spans="1:17">
      <c r="A31" s="524" t="s">
        <v>315</v>
      </c>
      <c r="B31" s="538">
        <v>4718</v>
      </c>
      <c r="C31" s="564" t="s">
        <v>71</v>
      </c>
      <c r="D31" s="515" t="s">
        <v>22</v>
      </c>
      <c r="E31" s="513">
        <v>0.3</v>
      </c>
      <c r="F31" s="509">
        <v>79.05</v>
      </c>
      <c r="G31" s="551">
        <f>E31*F31</f>
        <v>23.715</v>
      </c>
      <c r="H31" s="125"/>
    </row>
    <row r="32" spans="1:17" ht="24">
      <c r="A32" s="525" t="s">
        <v>316</v>
      </c>
      <c r="B32" s="528">
        <v>94969</v>
      </c>
      <c r="C32" s="564" t="s">
        <v>607</v>
      </c>
      <c r="D32" s="553" t="s">
        <v>22</v>
      </c>
      <c r="E32" s="568">
        <v>0.3</v>
      </c>
      <c r="F32" s="509">
        <v>281.12</v>
      </c>
      <c r="G32" s="511">
        <f>F32*E32</f>
        <v>84.335999999999999</v>
      </c>
      <c r="H32" s="125"/>
    </row>
    <row r="33" spans="1:17" ht="24">
      <c r="A33" s="532" t="s">
        <v>317</v>
      </c>
      <c r="B33" s="535">
        <v>96555</v>
      </c>
      <c r="C33" s="565" t="s">
        <v>62</v>
      </c>
      <c r="D33" s="557" t="s">
        <v>22</v>
      </c>
      <c r="E33" s="558">
        <f>3</f>
        <v>3</v>
      </c>
      <c r="F33" s="511">
        <v>441.71</v>
      </c>
      <c r="G33" s="560">
        <f>F33*E33</f>
        <v>1325.1299999999999</v>
      </c>
      <c r="H33" s="125"/>
    </row>
    <row r="34" spans="1:17">
      <c r="A34" s="532" t="s">
        <v>318</v>
      </c>
      <c r="B34" s="535" t="s">
        <v>608</v>
      </c>
      <c r="C34" s="564" t="s">
        <v>65</v>
      </c>
      <c r="D34" s="557" t="s">
        <v>63</v>
      </c>
      <c r="E34" s="513">
        <f>232</f>
        <v>232</v>
      </c>
      <c r="F34" s="511">
        <v>7.7</v>
      </c>
      <c r="G34" s="551">
        <f t="shared" ref="G34:G37" si="1">F34*E34</f>
        <v>1786.4</v>
      </c>
      <c r="H34" s="125"/>
    </row>
    <row r="35" spans="1:17">
      <c r="A35" s="532" t="s">
        <v>319</v>
      </c>
      <c r="B35" s="535">
        <v>96544</v>
      </c>
      <c r="C35" s="565" t="s">
        <v>445</v>
      </c>
      <c r="D35" s="557" t="s">
        <v>63</v>
      </c>
      <c r="E35" s="513">
        <v>73</v>
      </c>
      <c r="F35" s="511">
        <v>9.82</v>
      </c>
      <c r="G35" s="511">
        <f t="shared" si="1"/>
        <v>716.86</v>
      </c>
      <c r="H35" s="125"/>
    </row>
    <row r="36" spans="1:17" ht="24">
      <c r="A36" s="532" t="s">
        <v>320</v>
      </c>
      <c r="B36" s="535">
        <v>73548</v>
      </c>
      <c r="C36" s="564" t="s">
        <v>153</v>
      </c>
      <c r="D36" s="557" t="s">
        <v>22</v>
      </c>
      <c r="E36" s="513">
        <v>0.2</v>
      </c>
      <c r="F36" s="511">
        <v>479.13</v>
      </c>
      <c r="G36" s="551">
        <f t="shared" si="1"/>
        <v>95.826000000000008</v>
      </c>
      <c r="H36" s="125"/>
    </row>
    <row r="37" spans="1:17">
      <c r="A37" s="522" t="s">
        <v>321</v>
      </c>
      <c r="B37" s="534" t="s">
        <v>70</v>
      </c>
      <c r="C37" s="570" t="s">
        <v>609</v>
      </c>
      <c r="D37" s="504" t="s">
        <v>25</v>
      </c>
      <c r="E37" s="506">
        <v>19.8</v>
      </c>
      <c r="F37" s="510">
        <v>7.97</v>
      </c>
      <c r="G37" s="508">
        <f t="shared" si="1"/>
        <v>157.80600000000001</v>
      </c>
      <c r="H37" s="125"/>
      <c r="P37" s="30">
        <f>SUM(G25:G37)</f>
        <v>14951.507733333332</v>
      </c>
      <c r="Q37" s="5">
        <f>P37*1.2049</f>
        <v>18015.071667893331</v>
      </c>
    </row>
    <row r="38" spans="1:17">
      <c r="A38" s="143">
        <v>3</v>
      </c>
      <c r="B38" s="143"/>
      <c r="C38" s="123" t="s">
        <v>610</v>
      </c>
      <c r="D38" s="117"/>
      <c r="E38" s="118"/>
      <c r="F38" s="119"/>
      <c r="G38" s="119"/>
      <c r="H38" s="129"/>
    </row>
    <row r="39" spans="1:17">
      <c r="A39" s="539" t="s">
        <v>27</v>
      </c>
      <c r="B39" s="539" t="s">
        <v>185</v>
      </c>
      <c r="C39" s="563" t="s">
        <v>611</v>
      </c>
      <c r="D39" s="503" t="s">
        <v>25</v>
      </c>
      <c r="E39" s="559">
        <v>90.24</v>
      </c>
      <c r="F39" s="549">
        <f>Composições!L58</f>
        <v>16.366</v>
      </c>
      <c r="G39" s="569">
        <f t="shared" ref="G39:G47" si="2">E39*F39</f>
        <v>1476.8678399999999</v>
      </c>
      <c r="H39" s="127"/>
    </row>
    <row r="40" spans="1:17" ht="24">
      <c r="A40" s="538" t="s">
        <v>28</v>
      </c>
      <c r="B40" s="535" t="s">
        <v>106</v>
      </c>
      <c r="C40" s="564" t="s">
        <v>613</v>
      </c>
      <c r="D40" s="557" t="s">
        <v>63</v>
      </c>
      <c r="E40" s="568">
        <f>Composições!M12</f>
        <v>1164</v>
      </c>
      <c r="F40" s="551">
        <f>Composições!L13</f>
        <v>16.896660000000001</v>
      </c>
      <c r="G40" s="551">
        <f t="shared" si="2"/>
        <v>19667.712240000001</v>
      </c>
      <c r="H40" s="128"/>
    </row>
    <row r="41" spans="1:17">
      <c r="A41" s="538" t="s">
        <v>49</v>
      </c>
      <c r="B41" s="535" t="s">
        <v>113</v>
      </c>
      <c r="C41" s="564" t="s">
        <v>118</v>
      </c>
      <c r="D41" s="515" t="s">
        <v>63</v>
      </c>
      <c r="E41" s="558">
        <f>Composições!M20</f>
        <v>95.76</v>
      </c>
      <c r="F41" s="509">
        <f>Composições!L21</f>
        <v>6.9345000000000008</v>
      </c>
      <c r="G41" s="511">
        <f t="shared" si="2"/>
        <v>664.04772000000014</v>
      </c>
      <c r="H41" s="125"/>
    </row>
    <row r="42" spans="1:17">
      <c r="A42" s="538" t="s">
        <v>50</v>
      </c>
      <c r="B42" s="538" t="s">
        <v>124</v>
      </c>
      <c r="C42" s="564" t="s">
        <v>117</v>
      </c>
      <c r="D42" s="553" t="s">
        <v>63</v>
      </c>
      <c r="E42" s="513">
        <f>Composições!M28</f>
        <v>239.28</v>
      </c>
      <c r="F42" s="509">
        <f>Composições!L29</f>
        <v>7.8782999999999994</v>
      </c>
      <c r="G42" s="511">
        <f t="shared" si="2"/>
        <v>1885.1196239999999</v>
      </c>
      <c r="H42" s="125"/>
    </row>
    <row r="43" spans="1:17">
      <c r="A43" s="538" t="s">
        <v>51</v>
      </c>
      <c r="B43" s="538" t="s">
        <v>125</v>
      </c>
      <c r="C43" s="561" t="s">
        <v>122</v>
      </c>
      <c r="D43" s="515" t="s">
        <v>63</v>
      </c>
      <c r="E43" s="558">
        <v>387.6</v>
      </c>
      <c r="F43" s="509">
        <f>Composições!L36</f>
        <v>12.317880000000001</v>
      </c>
      <c r="G43" s="551">
        <f t="shared" si="2"/>
        <v>4774.4102880000009</v>
      </c>
      <c r="H43" s="125"/>
    </row>
    <row r="44" spans="1:17">
      <c r="A44" s="528" t="s">
        <v>29</v>
      </c>
      <c r="B44" s="538" t="s">
        <v>126</v>
      </c>
      <c r="C44" s="562" t="s">
        <v>121</v>
      </c>
      <c r="D44" s="553" t="s">
        <v>63</v>
      </c>
      <c r="E44" s="513">
        <f>Composições!M42</f>
        <v>54</v>
      </c>
      <c r="F44" s="509">
        <f>Composições!L43</f>
        <v>6.9321000000000002</v>
      </c>
      <c r="G44" s="511">
        <f t="shared" si="2"/>
        <v>374.33339999999998</v>
      </c>
      <c r="H44" s="125"/>
    </row>
    <row r="45" spans="1:17">
      <c r="A45" s="538" t="s">
        <v>30</v>
      </c>
      <c r="B45" s="538">
        <v>6391</v>
      </c>
      <c r="C45" s="567" t="s">
        <v>614</v>
      </c>
      <c r="D45" s="557" t="s">
        <v>26</v>
      </c>
      <c r="E45" s="568">
        <f>19.2</f>
        <v>19.2</v>
      </c>
      <c r="F45" s="509">
        <v>128.59</v>
      </c>
      <c r="G45" s="551">
        <f t="shared" si="2"/>
        <v>2468.9279999999999</v>
      </c>
      <c r="H45" s="125"/>
    </row>
    <row r="46" spans="1:17">
      <c r="A46" s="538" t="s">
        <v>323</v>
      </c>
      <c r="B46" s="538">
        <v>11963</v>
      </c>
      <c r="C46" s="565" t="s">
        <v>615</v>
      </c>
      <c r="D46" s="557" t="s">
        <v>128</v>
      </c>
      <c r="E46" s="568">
        <v>24</v>
      </c>
      <c r="F46" s="509">
        <v>5.0199999999999996</v>
      </c>
      <c r="G46" s="511">
        <f t="shared" si="2"/>
        <v>120.47999999999999</v>
      </c>
      <c r="H46" s="125"/>
    </row>
    <row r="47" spans="1:17" ht="24">
      <c r="A47" s="528" t="s">
        <v>324</v>
      </c>
      <c r="B47" s="528">
        <v>83736</v>
      </c>
      <c r="C47" s="564" t="s">
        <v>621</v>
      </c>
      <c r="D47" s="515" t="s">
        <v>25</v>
      </c>
      <c r="E47" s="558">
        <v>5</v>
      </c>
      <c r="F47" s="511">
        <v>172.9</v>
      </c>
      <c r="G47" s="511">
        <f t="shared" si="2"/>
        <v>864.5</v>
      </c>
      <c r="H47" s="125"/>
    </row>
    <row r="48" spans="1:17">
      <c r="A48" s="535" t="s">
        <v>325</v>
      </c>
      <c r="B48" s="535" t="s">
        <v>135</v>
      </c>
      <c r="C48" s="564" t="s">
        <v>146</v>
      </c>
      <c r="D48" s="553" t="s">
        <v>63</v>
      </c>
      <c r="E48" s="513">
        <v>120</v>
      </c>
      <c r="F48" s="511">
        <f>Composições!L65</f>
        <v>10.19272</v>
      </c>
      <c r="G48" s="511">
        <f>F48*E48</f>
        <v>1223.1263999999999</v>
      </c>
      <c r="H48" s="125"/>
    </row>
    <row r="49" spans="1:17">
      <c r="A49" s="535" t="s">
        <v>326</v>
      </c>
      <c r="B49" s="535" t="s">
        <v>630</v>
      </c>
      <c r="C49" s="564" t="s">
        <v>628</v>
      </c>
      <c r="D49" s="557" t="s">
        <v>128</v>
      </c>
      <c r="E49" s="568">
        <v>24</v>
      </c>
      <c r="F49" s="551">
        <v>10.199999999999999</v>
      </c>
      <c r="G49" s="551">
        <f>E49*F49</f>
        <v>244.79999999999998</v>
      </c>
      <c r="H49" s="128"/>
    </row>
    <row r="50" spans="1:17">
      <c r="A50" s="538" t="s">
        <v>327</v>
      </c>
      <c r="B50" s="538">
        <v>11971</v>
      </c>
      <c r="C50" s="565" t="s">
        <v>616</v>
      </c>
      <c r="D50" s="515" t="s">
        <v>128</v>
      </c>
      <c r="E50" s="558">
        <v>24</v>
      </c>
      <c r="F50" s="509">
        <v>2.2400000000000002</v>
      </c>
      <c r="G50" s="511">
        <f>E50*F50</f>
        <v>53.760000000000005</v>
      </c>
      <c r="H50" s="128"/>
    </row>
    <row r="51" spans="1:17">
      <c r="A51" s="540" t="s">
        <v>349</v>
      </c>
      <c r="B51" s="528">
        <v>4004</v>
      </c>
      <c r="C51" s="564" t="s">
        <v>617</v>
      </c>
      <c r="D51" s="553" t="s">
        <v>22</v>
      </c>
      <c r="E51" s="513">
        <f>0.1*0.4*0.4*12</f>
        <v>0.19200000000000006</v>
      </c>
      <c r="F51" s="509">
        <v>1325</v>
      </c>
      <c r="G51" s="511">
        <f>E51*F51</f>
        <v>254.40000000000009</v>
      </c>
      <c r="H51" s="128"/>
    </row>
    <row r="52" spans="1:17">
      <c r="A52" s="527" t="s">
        <v>350</v>
      </c>
      <c r="B52" s="534" t="s">
        <v>630</v>
      </c>
      <c r="C52" s="561" t="s">
        <v>627</v>
      </c>
      <c r="D52" s="504" t="s">
        <v>128</v>
      </c>
      <c r="E52" s="506">
        <v>12</v>
      </c>
      <c r="F52" s="508">
        <v>280.58</v>
      </c>
      <c r="G52" s="508">
        <f>E52*F52</f>
        <v>3366.96</v>
      </c>
      <c r="H52" s="240"/>
      <c r="P52" s="30">
        <f>SUM(G39:G52)</f>
        <v>37439.445512000006</v>
      </c>
      <c r="Q52" s="30">
        <f>1.2049*P52</f>
        <v>45110.787897408809</v>
      </c>
    </row>
    <row r="53" spans="1:17">
      <c r="A53" s="115">
        <v>4</v>
      </c>
      <c r="B53" s="115"/>
      <c r="C53" s="123" t="s">
        <v>476</v>
      </c>
      <c r="D53" s="117"/>
      <c r="E53" s="118"/>
      <c r="F53" s="119"/>
      <c r="G53" s="119"/>
      <c r="H53" s="129"/>
      <c r="L53">
        <f>38*2</f>
        <v>76</v>
      </c>
    </row>
    <row r="54" spans="1:17" ht="24">
      <c r="A54" s="539" t="s">
        <v>52</v>
      </c>
      <c r="B54" s="537">
        <v>97647</v>
      </c>
      <c r="C54" s="563" t="s">
        <v>191</v>
      </c>
      <c r="D54" s="548" t="s">
        <v>25</v>
      </c>
      <c r="E54" s="505">
        <v>191.78</v>
      </c>
      <c r="F54" s="549">
        <v>2.2200000000000002</v>
      </c>
      <c r="G54" s="507">
        <f t="shared" ref="G54:G66" si="3">E54*F54</f>
        <v>425.75160000000005</v>
      </c>
      <c r="H54" s="128"/>
    </row>
    <row r="55" spans="1:17">
      <c r="A55" s="538" t="s">
        <v>53</v>
      </c>
      <c r="B55" s="541">
        <v>94207</v>
      </c>
      <c r="C55" s="564" t="s">
        <v>449</v>
      </c>
      <c r="D55" s="553" t="s">
        <v>25</v>
      </c>
      <c r="E55" s="513">
        <v>191.78</v>
      </c>
      <c r="F55" s="551">
        <v>30.48</v>
      </c>
      <c r="G55" s="511">
        <f t="shared" si="3"/>
        <v>5845.4544000000005</v>
      </c>
      <c r="H55" s="128"/>
    </row>
    <row r="56" spans="1:17" ht="24">
      <c r="A56" s="538" t="s">
        <v>328</v>
      </c>
      <c r="B56" s="538">
        <v>97625</v>
      </c>
      <c r="C56" s="564" t="s">
        <v>618</v>
      </c>
      <c r="D56" s="515" t="s">
        <v>22</v>
      </c>
      <c r="E56" s="513">
        <f>(28.3*2.5*0.2*2+39.3*2.5*0.2*2)</f>
        <v>67.600000000000009</v>
      </c>
      <c r="F56" s="511">
        <v>36.08</v>
      </c>
      <c r="G56" s="511">
        <f t="shared" si="3"/>
        <v>2439.0080000000003</v>
      </c>
      <c r="H56" s="128"/>
    </row>
    <row r="57" spans="1:17" s="241" customFormat="1" ht="24">
      <c r="A57" s="528" t="s">
        <v>329</v>
      </c>
      <c r="B57" s="528">
        <v>97627</v>
      </c>
      <c r="C57" s="565" t="s">
        <v>466</v>
      </c>
      <c r="D57" s="553" t="s">
        <v>22</v>
      </c>
      <c r="E57" s="558">
        <v>7.2</v>
      </c>
      <c r="F57" s="551">
        <v>168.68</v>
      </c>
      <c r="G57" s="511">
        <f>E57*F57</f>
        <v>1214.4960000000001</v>
      </c>
      <c r="H57" s="128"/>
      <c r="K57" s="19">
        <f>39.3*2</f>
        <v>78.599999999999994</v>
      </c>
      <c r="L57" s="19">
        <f>0.2*0.2</f>
        <v>4.0000000000000008E-2</v>
      </c>
      <c r="M57" s="19">
        <f>K57*L57</f>
        <v>3.1440000000000006</v>
      </c>
    </row>
    <row r="58" spans="1:17">
      <c r="A58" s="538" t="s">
        <v>330</v>
      </c>
      <c r="B58" s="535" t="s">
        <v>518</v>
      </c>
      <c r="C58" s="564" t="s">
        <v>467</v>
      </c>
      <c r="D58" s="557" t="s">
        <v>25</v>
      </c>
      <c r="E58" s="513">
        <f>1.2*2.4*117</f>
        <v>336.96</v>
      </c>
      <c r="F58" s="511">
        <f>Composições!L73</f>
        <v>46.278411500000004</v>
      </c>
      <c r="G58" s="511">
        <f>E58*F58</f>
        <v>15593.97353904</v>
      </c>
      <c r="H58" s="263"/>
      <c r="I58">
        <v>99.53</v>
      </c>
      <c r="K58" s="19">
        <f>28.3*2</f>
        <v>56.6</v>
      </c>
      <c r="L58" s="19">
        <f>0.2*0.2</f>
        <v>4.0000000000000008E-2</v>
      </c>
      <c r="M58" s="19">
        <f>K58*L58</f>
        <v>2.2640000000000007</v>
      </c>
    </row>
    <row r="59" spans="1:17" ht="24">
      <c r="A59" s="528" t="s">
        <v>331</v>
      </c>
      <c r="B59" s="535" t="s">
        <v>474</v>
      </c>
      <c r="C59" s="565" t="s">
        <v>619</v>
      </c>
      <c r="D59" s="515" t="s">
        <v>26</v>
      </c>
      <c r="E59" s="513">
        <v>280.8</v>
      </c>
      <c r="F59" s="511">
        <v>18.21</v>
      </c>
      <c r="G59" s="560">
        <f>E59*F59</f>
        <v>5113.3680000000004</v>
      </c>
      <c r="H59" s="128"/>
      <c r="K59" s="19"/>
      <c r="L59" s="19"/>
      <c r="M59" s="19"/>
    </row>
    <row r="60" spans="1:17">
      <c r="A60" s="535" t="s">
        <v>332</v>
      </c>
      <c r="B60" s="535" t="s">
        <v>209</v>
      </c>
      <c r="C60" s="564" t="s">
        <v>202</v>
      </c>
      <c r="D60" s="553" t="s">
        <v>63</v>
      </c>
      <c r="E60" s="513">
        <v>1150.92</v>
      </c>
      <c r="F60" s="509">
        <f>Composições!L80</f>
        <v>6.011496779388084</v>
      </c>
      <c r="G60" s="551">
        <f t="shared" si="3"/>
        <v>6918.7518733333345</v>
      </c>
      <c r="H60" s="128"/>
      <c r="K60" s="19">
        <f>39.8/4</f>
        <v>9.9499999999999993</v>
      </c>
      <c r="L60" s="19">
        <f>0.2*0.2*2.5</f>
        <v>0.10000000000000002</v>
      </c>
      <c r="M60" s="19">
        <f>L60*K60</f>
        <v>0.99500000000000011</v>
      </c>
    </row>
    <row r="61" spans="1:17">
      <c r="A61" s="538" t="s">
        <v>333</v>
      </c>
      <c r="B61" s="535" t="s">
        <v>213</v>
      </c>
      <c r="C61" s="564" t="s">
        <v>212</v>
      </c>
      <c r="D61" s="515" t="s">
        <v>63</v>
      </c>
      <c r="E61" s="513">
        <v>1206</v>
      </c>
      <c r="F61" s="566">
        <f>Composições!L86</f>
        <v>6.6455100000000007</v>
      </c>
      <c r="G61" s="511">
        <f t="shared" si="3"/>
        <v>8014.4850600000009</v>
      </c>
      <c r="H61" s="128"/>
      <c r="K61" s="19">
        <f>28.3/4</f>
        <v>7.0750000000000002</v>
      </c>
      <c r="L61" s="19">
        <f>0.2*0.2*2.5</f>
        <v>0.10000000000000002</v>
      </c>
      <c r="M61" s="19">
        <f>L61*K61</f>
        <v>0.70750000000000013</v>
      </c>
    </row>
    <row r="62" spans="1:17">
      <c r="A62" s="528" t="s">
        <v>334</v>
      </c>
      <c r="B62" s="535" t="s">
        <v>221</v>
      </c>
      <c r="C62" s="564" t="s">
        <v>214</v>
      </c>
      <c r="D62" s="553" t="s">
        <v>63</v>
      </c>
      <c r="E62" s="513">
        <v>173.4</v>
      </c>
      <c r="F62" s="511">
        <f>Composições!L93</f>
        <v>6.6915000000000004</v>
      </c>
      <c r="G62" s="511">
        <f t="shared" si="3"/>
        <v>1160.3061</v>
      </c>
      <c r="H62" s="128"/>
      <c r="M62">
        <f>SUM(M57:M61)</f>
        <v>7.1105000000000018</v>
      </c>
    </row>
    <row r="63" spans="1:17">
      <c r="A63" s="535" t="s">
        <v>351</v>
      </c>
      <c r="B63" s="535" t="s">
        <v>224</v>
      </c>
      <c r="C63" s="564" t="s">
        <v>225</v>
      </c>
      <c r="D63" s="515" t="s">
        <v>63</v>
      </c>
      <c r="E63" s="513">
        <v>74.8</v>
      </c>
      <c r="F63" s="511">
        <f>Composições!L100</f>
        <v>6.4184999999999999</v>
      </c>
      <c r="G63" s="511">
        <f t="shared" si="3"/>
        <v>480.10379999999998</v>
      </c>
      <c r="H63" s="125"/>
    </row>
    <row r="64" spans="1:17">
      <c r="A64" s="535" t="s">
        <v>352</v>
      </c>
      <c r="B64" s="535">
        <v>11964</v>
      </c>
      <c r="C64" s="564" t="s">
        <v>620</v>
      </c>
      <c r="D64" s="553" t="s">
        <v>128</v>
      </c>
      <c r="E64" s="513">
        <v>140</v>
      </c>
      <c r="F64" s="551">
        <v>1.26</v>
      </c>
      <c r="G64" s="551">
        <f t="shared" si="3"/>
        <v>176.4</v>
      </c>
      <c r="H64" s="125"/>
      <c r="K64">
        <f>1.2*2.4</f>
        <v>2.88</v>
      </c>
      <c r="L64" s="264">
        <f>F58/K64</f>
        <v>16.068892881944446</v>
      </c>
    </row>
    <row r="65" spans="1:19" ht="24">
      <c r="A65" s="538" t="s">
        <v>353</v>
      </c>
      <c r="B65" s="535">
        <v>83736</v>
      </c>
      <c r="C65" s="564" t="s">
        <v>621</v>
      </c>
      <c r="D65" s="515" t="s">
        <v>25</v>
      </c>
      <c r="E65" s="513">
        <v>5</v>
      </c>
      <c r="F65" s="511">
        <v>172.9</v>
      </c>
      <c r="G65" s="511">
        <f t="shared" si="3"/>
        <v>864.5</v>
      </c>
      <c r="H65" s="125"/>
    </row>
    <row r="66" spans="1:19">
      <c r="A66" s="527" t="s">
        <v>524</v>
      </c>
      <c r="B66" s="534" t="s">
        <v>622</v>
      </c>
      <c r="C66" s="561" t="s">
        <v>229</v>
      </c>
      <c r="D66" s="514" t="s">
        <v>230</v>
      </c>
      <c r="E66" s="512">
        <v>5</v>
      </c>
      <c r="F66" s="508">
        <v>24.89</v>
      </c>
      <c r="G66" s="508">
        <f t="shared" si="3"/>
        <v>124.45</v>
      </c>
      <c r="H66" s="125"/>
      <c r="P66" s="30">
        <f>SUM(G54:G66)</f>
        <v>48371.048372373334</v>
      </c>
      <c r="Q66" s="5">
        <f>P66*1.2049</f>
        <v>58282.276183872636</v>
      </c>
    </row>
    <row r="67" spans="1:19" s="59" customFormat="1">
      <c r="A67" s="230">
        <v>5</v>
      </c>
      <c r="B67" s="226"/>
      <c r="C67" s="227" t="s">
        <v>31</v>
      </c>
      <c r="D67" s="225"/>
      <c r="E67" s="232"/>
      <c r="F67" s="237"/>
      <c r="G67" s="236"/>
      <c r="H67" s="125"/>
    </row>
    <row r="68" spans="1:19">
      <c r="A68" s="137" t="s">
        <v>579</v>
      </c>
      <c r="B68" s="90"/>
      <c r="C68" s="123" t="s">
        <v>275</v>
      </c>
      <c r="D68" s="117"/>
      <c r="E68" s="118"/>
      <c r="F68" s="119"/>
      <c r="G68" s="119"/>
      <c r="H68" s="129"/>
      <c r="K68">
        <f>2.54*3/8</f>
        <v>0.95250000000000001</v>
      </c>
    </row>
    <row r="69" spans="1:19" ht="22.5">
      <c r="A69" s="521" t="s">
        <v>580</v>
      </c>
      <c r="B69" s="542" t="s">
        <v>478</v>
      </c>
      <c r="C69" s="555" t="s">
        <v>253</v>
      </c>
      <c r="D69" s="503" t="s">
        <v>26</v>
      </c>
      <c r="E69" s="505">
        <v>28.3</v>
      </c>
      <c r="F69" s="507">
        <v>98.87</v>
      </c>
      <c r="G69" s="549">
        <f t="shared" ref="G69:G77" si="4">E69*F69</f>
        <v>2798.0210000000002</v>
      </c>
      <c r="H69" s="125"/>
    </row>
    <row r="70" spans="1:19">
      <c r="A70" s="532" t="s">
        <v>581</v>
      </c>
      <c r="B70" s="543" t="s">
        <v>259</v>
      </c>
      <c r="C70" s="556" t="s">
        <v>252</v>
      </c>
      <c r="D70" s="557" t="s">
        <v>25</v>
      </c>
      <c r="E70" s="513">
        <f>28.3*1.7*2</f>
        <v>96.22</v>
      </c>
      <c r="F70" s="509">
        <v>45.01</v>
      </c>
      <c r="G70" s="560">
        <f t="shared" si="4"/>
        <v>4330.8621999999996</v>
      </c>
      <c r="H70" s="125"/>
      <c r="I70" s="30"/>
      <c r="L70" s="30"/>
    </row>
    <row r="71" spans="1:19">
      <c r="A71" s="532" t="s">
        <v>582</v>
      </c>
      <c r="B71" s="520">
        <v>94263</v>
      </c>
      <c r="C71" s="556" t="s">
        <v>254</v>
      </c>
      <c r="D71" s="557" t="s">
        <v>26</v>
      </c>
      <c r="E71" s="558">
        <f>28.3*2</f>
        <v>56.6</v>
      </c>
      <c r="F71" s="509">
        <v>20.59</v>
      </c>
      <c r="G71" s="551">
        <f t="shared" si="4"/>
        <v>1165.394</v>
      </c>
      <c r="H71" s="125"/>
    </row>
    <row r="72" spans="1:19" ht="22.5">
      <c r="A72" s="532" t="s">
        <v>583</v>
      </c>
      <c r="B72" s="538" t="s">
        <v>479</v>
      </c>
      <c r="C72" s="554" t="s">
        <v>276</v>
      </c>
      <c r="D72" s="515" t="s">
        <v>25</v>
      </c>
      <c r="E72" s="513">
        <v>1.5</v>
      </c>
      <c r="F72" s="511">
        <v>61.95</v>
      </c>
      <c r="G72" s="511">
        <f t="shared" si="4"/>
        <v>92.925000000000011</v>
      </c>
      <c r="H72" s="125"/>
    </row>
    <row r="73" spans="1:19">
      <c r="A73" s="532" t="s">
        <v>584</v>
      </c>
      <c r="B73" s="526" t="s">
        <v>258</v>
      </c>
      <c r="C73" s="554" t="s">
        <v>623</v>
      </c>
      <c r="D73" s="553" t="s">
        <v>25</v>
      </c>
      <c r="E73" s="513">
        <f>1.7*28.3*2</f>
        <v>96.22</v>
      </c>
      <c r="F73" s="551">
        <v>16.28</v>
      </c>
      <c r="G73" s="551">
        <f t="shared" si="4"/>
        <v>1566.4616000000001</v>
      </c>
      <c r="H73" s="125"/>
    </row>
    <row r="74" spans="1:19" ht="24">
      <c r="A74" s="524" t="s">
        <v>585</v>
      </c>
      <c r="B74" s="526" t="s">
        <v>260</v>
      </c>
      <c r="C74" s="552" t="s">
        <v>624</v>
      </c>
      <c r="D74" s="515" t="s">
        <v>25</v>
      </c>
      <c r="E74" s="513">
        <v>33.4</v>
      </c>
      <c r="F74" s="511">
        <v>15.09</v>
      </c>
      <c r="G74" s="511">
        <f t="shared" si="4"/>
        <v>504.00599999999997</v>
      </c>
      <c r="H74" s="125"/>
    </row>
    <row r="75" spans="1:19" s="357" customFormat="1">
      <c r="A75" s="525" t="s">
        <v>586</v>
      </c>
      <c r="B75" s="526">
        <v>88415</v>
      </c>
      <c r="C75" s="550" t="s">
        <v>593</v>
      </c>
      <c r="D75" s="515" t="s">
        <v>25</v>
      </c>
      <c r="E75" s="513">
        <f>E77</f>
        <v>301.02</v>
      </c>
      <c r="F75" s="511">
        <v>2.23</v>
      </c>
      <c r="G75" s="551">
        <f t="shared" si="4"/>
        <v>671.27459999999996</v>
      </c>
      <c r="H75" s="125"/>
    </row>
    <row r="76" spans="1:19">
      <c r="A76" s="524" t="s">
        <v>587</v>
      </c>
      <c r="B76" s="544">
        <v>88423</v>
      </c>
      <c r="C76" s="550" t="s">
        <v>625</v>
      </c>
      <c r="D76" s="515" t="s">
        <v>25</v>
      </c>
      <c r="E76" s="513">
        <v>814.5</v>
      </c>
      <c r="F76" s="511">
        <v>14.59</v>
      </c>
      <c r="G76" s="511">
        <f t="shared" si="4"/>
        <v>11883.555</v>
      </c>
      <c r="H76" s="125"/>
    </row>
    <row r="77" spans="1:19" ht="24">
      <c r="A77" s="523" t="s">
        <v>592</v>
      </c>
      <c r="B77" s="519">
        <v>88423</v>
      </c>
      <c r="C77" s="517" t="s">
        <v>626</v>
      </c>
      <c r="D77" s="514" t="s">
        <v>25</v>
      </c>
      <c r="E77" s="506">
        <v>301.02</v>
      </c>
      <c r="F77" s="508">
        <v>14.59</v>
      </c>
      <c r="G77" s="510">
        <f t="shared" si="4"/>
        <v>4391.8818000000001</v>
      </c>
      <c r="H77" s="125"/>
      <c r="P77" s="30">
        <f>SUM(G69:G77)</f>
        <v>27404.3812</v>
      </c>
      <c r="Q77" s="30">
        <f>P77*1.2049</f>
        <v>33019.53890788</v>
      </c>
    </row>
    <row r="78" spans="1:19" s="59" customFormat="1">
      <c r="A78" s="231">
        <v>6</v>
      </c>
      <c r="B78" s="234"/>
      <c r="C78" s="229" t="s">
        <v>33</v>
      </c>
      <c r="D78" s="228"/>
      <c r="E78" s="233"/>
      <c r="F78" s="238"/>
      <c r="G78" s="235"/>
      <c r="H78" s="125"/>
      <c r="S78" s="30"/>
    </row>
    <row r="79" spans="1:19" s="59" customFormat="1">
      <c r="A79" s="521" t="s">
        <v>54</v>
      </c>
      <c r="B79" s="545">
        <v>85178</v>
      </c>
      <c r="C79" s="547" t="s">
        <v>413</v>
      </c>
      <c r="D79" s="548" t="s">
        <v>128</v>
      </c>
      <c r="E79" s="505">
        <v>10</v>
      </c>
      <c r="F79" s="507">
        <v>58.71</v>
      </c>
      <c r="G79" s="507">
        <f>E79*F79</f>
        <v>587.1</v>
      </c>
      <c r="H79" s="125"/>
      <c r="S79" s="30"/>
    </row>
    <row r="80" spans="1:19" s="59" customFormat="1" ht="24">
      <c r="A80" s="522" t="s">
        <v>416</v>
      </c>
      <c r="B80" s="355" t="s">
        <v>55</v>
      </c>
      <c r="C80" s="546" t="s">
        <v>414</v>
      </c>
      <c r="D80" s="514" t="s">
        <v>25</v>
      </c>
      <c r="E80" s="506">
        <v>195</v>
      </c>
      <c r="F80" s="508">
        <v>10.43</v>
      </c>
      <c r="G80" s="508">
        <f>E80*F80</f>
        <v>2033.85</v>
      </c>
      <c r="H80" s="125"/>
      <c r="P80" s="30">
        <f>SUM(G79:G80)</f>
        <v>2620.9499999999998</v>
      </c>
      <c r="Q80" s="30">
        <f>1.2049*P80</f>
        <v>3157.9826549999998</v>
      </c>
    </row>
    <row r="81" spans="1:17" s="59" customFormat="1">
      <c r="A81" s="137">
        <v>7</v>
      </c>
      <c r="B81" s="90"/>
      <c r="C81" s="123" t="s">
        <v>34</v>
      </c>
      <c r="D81" s="117"/>
      <c r="E81" s="118"/>
      <c r="F81" s="119"/>
      <c r="G81" s="119"/>
      <c r="H81" s="125"/>
    </row>
    <row r="82" spans="1:17">
      <c r="A82" s="328" t="s">
        <v>32</v>
      </c>
      <c r="B82" s="83">
        <v>9537</v>
      </c>
      <c r="C82" s="356" t="s">
        <v>526</v>
      </c>
      <c r="D82" s="85" t="s">
        <v>25</v>
      </c>
      <c r="E82" s="86">
        <v>980</v>
      </c>
      <c r="F82" s="87">
        <v>2.11</v>
      </c>
      <c r="G82" s="87">
        <f>F82*E82</f>
        <v>2067.7999999999997</v>
      </c>
      <c r="H82" s="128"/>
      <c r="P82" s="30">
        <f>G82</f>
        <v>2067.7999999999997</v>
      </c>
      <c r="Q82" s="30">
        <f>1.2049*P82</f>
        <v>2491.4922199999996</v>
      </c>
    </row>
    <row r="83" spans="1:17">
      <c r="A83" s="609">
        <v>8</v>
      </c>
      <c r="B83" s="610"/>
      <c r="C83" s="609" t="s">
        <v>36</v>
      </c>
      <c r="D83" s="609"/>
      <c r="E83" s="609"/>
      <c r="F83" s="609"/>
      <c r="G83" s="611">
        <f>SUM(G8:G82)</f>
        <v>178070.61751770668</v>
      </c>
      <c r="H83" s="14"/>
    </row>
    <row r="84" spans="1:17">
      <c r="A84" s="609"/>
      <c r="B84" s="610"/>
      <c r="C84" s="609"/>
      <c r="D84" s="609"/>
      <c r="E84" s="609"/>
      <c r="F84" s="609"/>
      <c r="G84" s="611"/>
    </row>
    <row r="85" spans="1:17">
      <c r="A85" s="609">
        <v>9</v>
      </c>
      <c r="B85" s="610"/>
      <c r="C85" s="609" t="s">
        <v>37</v>
      </c>
      <c r="D85" s="612">
        <v>0.2049</v>
      </c>
      <c r="E85" s="612"/>
      <c r="F85" s="612"/>
      <c r="G85" s="611">
        <f>G83*D85</f>
        <v>36486.669529378101</v>
      </c>
    </row>
    <row r="86" spans="1:17">
      <c r="A86" s="609"/>
      <c r="B86" s="610"/>
      <c r="C86" s="609"/>
      <c r="D86" s="612"/>
      <c r="E86" s="612"/>
      <c r="F86" s="612"/>
      <c r="G86" s="611"/>
    </row>
    <row r="87" spans="1:17">
      <c r="A87" s="609">
        <v>10</v>
      </c>
      <c r="B87" s="610"/>
      <c r="C87" s="609" t="s">
        <v>38</v>
      </c>
      <c r="D87" s="609" t="s">
        <v>39</v>
      </c>
      <c r="E87" s="609"/>
      <c r="F87" s="609"/>
      <c r="G87" s="611">
        <f>G83+G85</f>
        <v>214557.28704708477</v>
      </c>
    </row>
    <row r="88" spans="1:17">
      <c r="A88" s="609"/>
      <c r="B88" s="610"/>
      <c r="C88" s="609"/>
      <c r="D88" s="609"/>
      <c r="E88" s="609"/>
      <c r="F88" s="609"/>
      <c r="G88" s="611"/>
    </row>
  </sheetData>
  <mergeCells count="26">
    <mergeCell ref="A87:A88"/>
    <mergeCell ref="B87:B88"/>
    <mergeCell ref="C87:C88"/>
    <mergeCell ref="D87:F88"/>
    <mergeCell ref="G87:G88"/>
    <mergeCell ref="A85:A86"/>
    <mergeCell ref="B85:B86"/>
    <mergeCell ref="C85:C86"/>
    <mergeCell ref="D85:F86"/>
    <mergeCell ref="G85:G86"/>
    <mergeCell ref="A83:A84"/>
    <mergeCell ref="B83:B84"/>
    <mergeCell ref="C83:C84"/>
    <mergeCell ref="D83:F84"/>
    <mergeCell ref="G83:G84"/>
    <mergeCell ref="A1:B1"/>
    <mergeCell ref="C1:F1"/>
    <mergeCell ref="G1:G3"/>
    <mergeCell ref="A4:B5"/>
    <mergeCell ref="C4:D5"/>
    <mergeCell ref="E4:G4"/>
    <mergeCell ref="A2:B2"/>
    <mergeCell ref="C2:F2"/>
    <mergeCell ref="A3:B3"/>
    <mergeCell ref="C3:F3"/>
    <mergeCell ref="E5:G5"/>
  </mergeCells>
  <pageMargins left="0.51181102362204722" right="0.51181102362204722" top="0.78740157480314965" bottom="0.78740157480314965" header="0.31496062992125984" footer="0.31496062992125984"/>
  <pageSetup scale="75" orientation="portrait" horizont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C3:J30"/>
  <sheetViews>
    <sheetView topLeftCell="B19" workbookViewId="0">
      <selection activeCell="K12" sqref="K12"/>
    </sheetView>
  </sheetViews>
  <sheetFormatPr defaultColWidth="87.5703125" defaultRowHeight="15"/>
  <cols>
    <col min="1" max="1" width="13.5703125" customWidth="1"/>
    <col min="2" max="2" width="24.28515625" customWidth="1"/>
    <col min="3" max="3" width="35" bestFit="1" customWidth="1"/>
    <col min="4" max="4" width="6.85546875" bestFit="1" customWidth="1"/>
    <col min="5" max="5" width="9" bestFit="1" customWidth="1"/>
    <col min="6" max="6" width="39.5703125" customWidth="1"/>
    <col min="7" max="7" width="4.85546875" bestFit="1" customWidth="1"/>
    <col min="8" max="8" width="11.28515625" bestFit="1" customWidth="1"/>
    <col min="9" max="10" width="17.28515625" bestFit="1" customWidth="1"/>
  </cols>
  <sheetData>
    <row r="3" spans="3:10">
      <c r="C3" s="746" t="s">
        <v>149</v>
      </c>
      <c r="D3" s="746"/>
      <c r="E3" s="746"/>
      <c r="F3" s="746"/>
      <c r="G3" s="746"/>
      <c r="H3" s="357"/>
      <c r="I3" s="357"/>
      <c r="J3" s="357"/>
    </row>
    <row r="4" spans="3:10" ht="15.75" thickBot="1">
      <c r="C4" s="747"/>
      <c r="D4" s="747"/>
      <c r="E4" s="748"/>
      <c r="F4" s="748"/>
      <c r="G4" s="748"/>
      <c r="H4" s="357"/>
      <c r="I4" s="357"/>
      <c r="J4" s="357"/>
    </row>
    <row r="5" spans="3:10" ht="15.75" thickTop="1">
      <c r="C5" s="357"/>
      <c r="D5" s="357"/>
      <c r="E5" s="357"/>
      <c r="F5" s="357"/>
      <c r="G5" s="357"/>
      <c r="H5" s="357"/>
      <c r="I5" s="357"/>
      <c r="J5" s="357"/>
    </row>
    <row r="6" spans="3:10">
      <c r="C6" s="19" t="s">
        <v>97</v>
      </c>
      <c r="D6" s="19" t="s">
        <v>98</v>
      </c>
      <c r="E6" s="19" t="s">
        <v>99</v>
      </c>
      <c r="F6" s="19" t="s">
        <v>100</v>
      </c>
      <c r="G6" s="19" t="s">
        <v>101</v>
      </c>
      <c r="H6" s="19" t="s">
        <v>102</v>
      </c>
      <c r="I6" s="19" t="s">
        <v>103</v>
      </c>
      <c r="J6" s="19" t="s">
        <v>104</v>
      </c>
    </row>
    <row r="7" spans="3:10" ht="24">
      <c r="C7" s="12" t="s">
        <v>80</v>
      </c>
      <c r="D7" s="12"/>
      <c r="E7" s="12" t="s">
        <v>81</v>
      </c>
      <c r="F7" s="16" t="s">
        <v>82</v>
      </c>
      <c r="G7" s="12" t="s">
        <v>74</v>
      </c>
      <c r="H7" s="20" t="s">
        <v>95</v>
      </c>
      <c r="I7" s="19"/>
      <c r="J7" s="19"/>
    </row>
    <row r="8" spans="3:10" ht="24">
      <c r="C8" s="17" t="s">
        <v>75</v>
      </c>
      <c r="D8" s="17"/>
      <c r="E8" s="17" t="s">
        <v>83</v>
      </c>
      <c r="F8" s="18" t="s">
        <v>84</v>
      </c>
      <c r="G8" s="17" t="s">
        <v>74</v>
      </c>
      <c r="H8" s="21">
        <v>1.05</v>
      </c>
      <c r="I8" s="19"/>
      <c r="J8" s="19"/>
    </row>
    <row r="9" spans="3:10" ht="36">
      <c r="C9" s="17" t="s">
        <v>76</v>
      </c>
      <c r="D9" s="17"/>
      <c r="E9" s="17" t="s">
        <v>85</v>
      </c>
      <c r="F9" s="18" t="s">
        <v>86</v>
      </c>
      <c r="G9" s="17" t="s">
        <v>87</v>
      </c>
      <c r="H9" s="21">
        <v>6.0000000000000001E-3</v>
      </c>
      <c r="I9" s="19"/>
      <c r="J9" s="19"/>
    </row>
    <row r="10" spans="3:10" ht="24">
      <c r="C10" s="17" t="s">
        <v>76</v>
      </c>
      <c r="D10" s="17"/>
      <c r="E10" s="17" t="s">
        <v>88</v>
      </c>
      <c r="F10" s="18" t="s">
        <v>89</v>
      </c>
      <c r="G10" s="17" t="s">
        <v>77</v>
      </c>
      <c r="H10" s="21">
        <v>0.12</v>
      </c>
      <c r="I10" s="19"/>
      <c r="J10" s="19"/>
    </row>
    <row r="11" spans="3:10" ht="24">
      <c r="C11" s="17" t="s">
        <v>76</v>
      </c>
      <c r="D11" s="17"/>
      <c r="E11" s="17" t="s">
        <v>78</v>
      </c>
      <c r="F11" s="18" t="s">
        <v>79</v>
      </c>
      <c r="G11" s="17" t="s">
        <v>77</v>
      </c>
      <c r="H11" s="21">
        <v>0.12</v>
      </c>
      <c r="I11" s="19"/>
      <c r="J11" s="19"/>
    </row>
    <row r="12" spans="3:10" ht="24">
      <c r="C12" s="12" t="s">
        <v>80</v>
      </c>
      <c r="D12" s="12"/>
      <c r="E12" s="12" t="s">
        <v>90</v>
      </c>
      <c r="F12" s="16" t="s">
        <v>91</v>
      </c>
      <c r="G12" s="12" t="s">
        <v>74</v>
      </c>
      <c r="H12" s="20" t="s">
        <v>39</v>
      </c>
      <c r="I12" s="19"/>
      <c r="J12" s="19"/>
    </row>
    <row r="13" spans="3:10" ht="24">
      <c r="C13" s="17" t="s">
        <v>75</v>
      </c>
      <c r="D13" s="17"/>
      <c r="E13" s="17" t="s">
        <v>92</v>
      </c>
      <c r="F13" s="18" t="s">
        <v>93</v>
      </c>
      <c r="G13" s="17" t="s">
        <v>74</v>
      </c>
      <c r="H13" s="21">
        <v>1.05</v>
      </c>
      <c r="I13" s="19"/>
      <c r="J13" s="19"/>
    </row>
    <row r="14" spans="3:10" ht="36">
      <c r="C14" s="17" t="s">
        <v>76</v>
      </c>
      <c r="D14" s="17"/>
      <c r="E14" s="17" t="s">
        <v>85</v>
      </c>
      <c r="F14" s="18" t="s">
        <v>86</v>
      </c>
      <c r="G14" s="17" t="s">
        <v>87</v>
      </c>
      <c r="H14" s="21">
        <v>6.0000000000000001E-3</v>
      </c>
      <c r="I14" s="19"/>
      <c r="J14" s="19"/>
    </row>
    <row r="15" spans="3:10" ht="24">
      <c r="C15" s="17" t="s">
        <v>76</v>
      </c>
      <c r="D15" s="17"/>
      <c r="E15" s="17" t="s">
        <v>88</v>
      </c>
      <c r="F15" s="18" t="s">
        <v>89</v>
      </c>
      <c r="G15" s="17" t="s">
        <v>77</v>
      </c>
      <c r="H15" s="21">
        <v>0.04</v>
      </c>
      <c r="I15" s="19"/>
      <c r="J15" s="19"/>
    </row>
    <row r="16" spans="3:10" ht="24">
      <c r="C16" s="17" t="s">
        <v>76</v>
      </c>
      <c r="D16" s="17"/>
      <c r="E16" s="17" t="s">
        <v>78</v>
      </c>
      <c r="F16" s="18" t="s">
        <v>79</v>
      </c>
      <c r="G16" s="17" t="s">
        <v>77</v>
      </c>
      <c r="H16" s="21">
        <v>0.04</v>
      </c>
      <c r="I16" s="19"/>
      <c r="J16" s="19"/>
    </row>
    <row r="17" spans="3:10">
      <c r="C17" s="46"/>
      <c r="D17" s="46"/>
      <c r="E17" s="46"/>
      <c r="F17" s="46"/>
      <c r="G17" s="46"/>
      <c r="H17" s="46"/>
      <c r="I17" s="47"/>
      <c r="J17" s="47"/>
    </row>
    <row r="18" spans="3:10">
      <c r="C18" s="357"/>
      <c r="D18" s="357"/>
      <c r="E18" s="357"/>
      <c r="F18" s="357"/>
      <c r="G18" s="357"/>
      <c r="H18" s="357"/>
      <c r="I18" s="19"/>
      <c r="J18" s="19"/>
    </row>
    <row r="19" spans="3:10" ht="36">
      <c r="C19" s="7" t="s">
        <v>182</v>
      </c>
      <c r="D19" s="7" t="s">
        <v>98</v>
      </c>
      <c r="E19" s="53" t="s">
        <v>169</v>
      </c>
      <c r="F19" s="54" t="s">
        <v>60</v>
      </c>
      <c r="G19" s="7" t="s">
        <v>68</v>
      </c>
      <c r="H19" s="6" t="s">
        <v>102</v>
      </c>
      <c r="I19" s="6" t="s">
        <v>103</v>
      </c>
      <c r="J19" s="6" t="s">
        <v>104</v>
      </c>
    </row>
    <row r="20" spans="3:10" ht="24">
      <c r="C20" s="60" t="s">
        <v>75</v>
      </c>
      <c r="D20" s="60"/>
      <c r="E20" s="60" t="s">
        <v>164</v>
      </c>
      <c r="F20" s="56" t="s">
        <v>172</v>
      </c>
      <c r="G20" s="60" t="s">
        <v>74</v>
      </c>
      <c r="H20" s="61" t="s">
        <v>175</v>
      </c>
      <c r="I20" s="35">
        <v>11.79</v>
      </c>
      <c r="J20" s="19">
        <f>H20*I20</f>
        <v>0.23579999999999998</v>
      </c>
    </row>
    <row r="21" spans="3:10" ht="48">
      <c r="C21" s="60" t="s">
        <v>75</v>
      </c>
      <c r="D21" s="60"/>
      <c r="E21" s="60" t="s">
        <v>165</v>
      </c>
      <c r="F21" s="56" t="s">
        <v>173</v>
      </c>
      <c r="G21" s="60" t="s">
        <v>87</v>
      </c>
      <c r="H21" s="61" t="s">
        <v>176</v>
      </c>
      <c r="I21" s="19">
        <v>8.9600000000000009</v>
      </c>
      <c r="J21" s="19">
        <f t="shared" ref="J21:J29" si="0">H21*I21</f>
        <v>0.35840000000000005</v>
      </c>
    </row>
    <row r="22" spans="3:10" ht="24">
      <c r="C22" s="60" t="s">
        <v>75</v>
      </c>
      <c r="D22" s="60"/>
      <c r="E22" s="60" t="s">
        <v>166</v>
      </c>
      <c r="F22" s="56" t="s">
        <v>174</v>
      </c>
      <c r="G22" s="60" t="s">
        <v>74</v>
      </c>
      <c r="H22" s="61" t="s">
        <v>177</v>
      </c>
      <c r="I22" s="19">
        <v>9.3800000000000008</v>
      </c>
      <c r="J22" s="19">
        <f t="shared" si="0"/>
        <v>0.11256000000000001</v>
      </c>
    </row>
    <row r="23" spans="3:10" ht="24">
      <c r="C23" s="60" t="s">
        <v>75</v>
      </c>
      <c r="D23" s="60"/>
      <c r="E23" s="60" t="s">
        <v>167</v>
      </c>
      <c r="F23" s="56" t="s">
        <v>170</v>
      </c>
      <c r="G23" s="60" t="s">
        <v>87</v>
      </c>
      <c r="H23" s="61" t="s">
        <v>178</v>
      </c>
      <c r="I23" s="19">
        <v>17.149999999999999</v>
      </c>
      <c r="J23" s="19">
        <f t="shared" si="0"/>
        <v>4.8928949999999993</v>
      </c>
    </row>
    <row r="24" spans="3:10" ht="36">
      <c r="C24" s="60" t="s">
        <v>75</v>
      </c>
      <c r="D24" s="60"/>
      <c r="E24" s="60" t="s">
        <v>162</v>
      </c>
      <c r="F24" s="56" t="s">
        <v>159</v>
      </c>
      <c r="G24" s="60" t="s">
        <v>77</v>
      </c>
      <c r="H24" s="61" t="s">
        <v>179</v>
      </c>
      <c r="I24" s="19">
        <v>2.25</v>
      </c>
      <c r="J24" s="19">
        <f t="shared" si="0"/>
        <v>0.22500000000000001</v>
      </c>
    </row>
    <row r="25" spans="3:10" ht="36">
      <c r="C25" s="60" t="s">
        <v>75</v>
      </c>
      <c r="D25" s="60"/>
      <c r="E25" s="60" t="s">
        <v>163</v>
      </c>
      <c r="F25" s="56" t="s">
        <v>160</v>
      </c>
      <c r="G25" s="60" t="s">
        <v>77</v>
      </c>
      <c r="H25" s="61" t="s">
        <v>179</v>
      </c>
      <c r="I25" s="19">
        <v>2.25</v>
      </c>
      <c r="J25" s="19">
        <f t="shared" si="0"/>
        <v>0.22500000000000001</v>
      </c>
    </row>
    <row r="26" spans="3:10" ht="24">
      <c r="C26" s="60" t="s">
        <v>76</v>
      </c>
      <c r="D26" s="60"/>
      <c r="E26" s="60" t="s">
        <v>155</v>
      </c>
      <c r="F26" s="56" t="s">
        <v>156</v>
      </c>
      <c r="G26" s="60" t="s">
        <v>77</v>
      </c>
      <c r="H26" s="61" t="s">
        <v>180</v>
      </c>
      <c r="I26" s="19">
        <v>14.45</v>
      </c>
      <c r="J26" s="19">
        <f t="shared" si="0"/>
        <v>8.67</v>
      </c>
    </row>
    <row r="27" spans="3:10" ht="24">
      <c r="C27" s="60" t="s">
        <v>76</v>
      </c>
      <c r="D27" s="60"/>
      <c r="E27" s="60" t="s">
        <v>168</v>
      </c>
      <c r="F27" s="56" t="s">
        <v>171</v>
      </c>
      <c r="G27" s="60" t="s">
        <v>77</v>
      </c>
      <c r="H27" s="61" t="s">
        <v>181</v>
      </c>
      <c r="I27" s="19">
        <v>17.850000000000001</v>
      </c>
      <c r="J27" s="19">
        <f t="shared" si="0"/>
        <v>2.3205000000000005</v>
      </c>
    </row>
    <row r="28" spans="3:10" ht="24">
      <c r="C28" s="60" t="s">
        <v>76</v>
      </c>
      <c r="D28" s="60"/>
      <c r="E28" s="60" t="s">
        <v>157</v>
      </c>
      <c r="F28" s="56" t="s">
        <v>158</v>
      </c>
      <c r="G28" s="60" t="s">
        <v>77</v>
      </c>
      <c r="H28" s="61" t="s">
        <v>179</v>
      </c>
      <c r="I28" s="19">
        <v>15.28</v>
      </c>
      <c r="J28" s="19">
        <f t="shared" si="0"/>
        <v>1.528</v>
      </c>
    </row>
    <row r="29" spans="3:10" ht="24">
      <c r="C29" s="60" t="s">
        <v>76</v>
      </c>
      <c r="D29" s="60"/>
      <c r="E29" s="60" t="s">
        <v>78</v>
      </c>
      <c r="F29" s="56" t="s">
        <v>79</v>
      </c>
      <c r="G29" s="60" t="s">
        <v>77</v>
      </c>
      <c r="H29" s="61" t="s">
        <v>181</v>
      </c>
      <c r="I29" s="19">
        <v>13.18</v>
      </c>
      <c r="J29" s="19">
        <f t="shared" si="0"/>
        <v>1.7134</v>
      </c>
    </row>
    <row r="30" spans="3:10">
      <c r="C30" s="62"/>
      <c r="D30" s="62"/>
      <c r="E30" s="62"/>
      <c r="F30" s="63"/>
      <c r="G30" s="9"/>
      <c r="H30" s="49"/>
      <c r="I30" s="19" t="s">
        <v>105</v>
      </c>
      <c r="J30" s="55">
        <f>SUM(J20:J29)</f>
        <v>20.281554999999997</v>
      </c>
    </row>
  </sheetData>
  <mergeCells count="3">
    <mergeCell ref="C3:G3"/>
    <mergeCell ref="C4:D4"/>
    <mergeCell ref="E4:G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0"/>
  <sheetViews>
    <sheetView zoomScale="120" zoomScaleNormal="120" workbookViewId="0">
      <selection activeCell="F15" sqref="F15"/>
    </sheetView>
  </sheetViews>
  <sheetFormatPr defaultRowHeight="15"/>
  <cols>
    <col min="1" max="1" width="13.7109375" bestFit="1" customWidth="1"/>
    <col min="2" max="2" width="14.28515625" customWidth="1"/>
    <col min="3" max="3" width="69" bestFit="1" customWidth="1"/>
    <col min="4" max="4" width="8.7109375" customWidth="1"/>
    <col min="5" max="5" width="11.5703125" customWidth="1"/>
    <col min="6" max="6" width="10.7109375" customWidth="1"/>
    <col min="7" max="7" width="15.5703125" customWidth="1"/>
    <col min="8" max="8" width="15.5703125" style="59" customWidth="1"/>
    <col min="9" max="9" width="30.28515625" customWidth="1"/>
    <col min="10" max="10" width="28.5703125" customWidth="1"/>
    <col min="11" max="11" width="9.7109375" customWidth="1"/>
    <col min="12" max="12" width="10.42578125" bestFit="1" customWidth="1"/>
    <col min="15" max="15" width="15" customWidth="1"/>
    <col min="16" max="16" width="10.42578125" bestFit="1" customWidth="1"/>
    <col min="17" max="17" width="11.140625" bestFit="1" customWidth="1"/>
    <col min="19" max="19" width="13.85546875" customWidth="1"/>
  </cols>
  <sheetData>
    <row r="1" spans="1:9" s="59" customFormat="1">
      <c r="A1" s="591" t="s">
        <v>0</v>
      </c>
      <c r="B1" s="592"/>
      <c r="C1" s="593" t="s">
        <v>1</v>
      </c>
      <c r="D1" s="593"/>
      <c r="E1" s="593"/>
      <c r="F1" s="593"/>
      <c r="G1" s="594"/>
    </row>
    <row r="2" spans="1:9" s="59" customFormat="1">
      <c r="A2" s="603" t="s">
        <v>2</v>
      </c>
      <c r="B2" s="604"/>
      <c r="C2" s="605" t="s">
        <v>335</v>
      </c>
      <c r="D2" s="605"/>
      <c r="E2" s="605"/>
      <c r="F2" s="605"/>
      <c r="G2" s="595"/>
    </row>
    <row r="3" spans="1:9" s="59" customFormat="1" ht="15.75" thickBot="1">
      <c r="A3" s="606" t="s">
        <v>3</v>
      </c>
      <c r="B3" s="607"/>
      <c r="C3" s="760" t="s">
        <v>4</v>
      </c>
      <c r="D3" s="760"/>
      <c r="E3" s="760"/>
      <c r="F3" s="760"/>
      <c r="G3" s="759"/>
    </row>
    <row r="4" spans="1:9" s="59" customFormat="1">
      <c r="A4" s="765" t="s">
        <v>5</v>
      </c>
      <c r="B4" s="766"/>
      <c r="C4" s="755" t="s">
        <v>6</v>
      </c>
      <c r="D4" s="756"/>
      <c r="E4" s="761" t="s">
        <v>336</v>
      </c>
      <c r="F4" s="761"/>
      <c r="G4" s="762"/>
    </row>
    <row r="5" spans="1:9" s="59" customFormat="1">
      <c r="A5" s="767"/>
      <c r="B5" s="768"/>
      <c r="C5" s="757"/>
      <c r="D5" s="758"/>
      <c r="E5" s="763" t="s">
        <v>337</v>
      </c>
      <c r="F5" s="763"/>
      <c r="G5" s="764"/>
    </row>
    <row r="6" spans="1:9" s="59" customFormat="1" ht="26.25" thickBot="1">
      <c r="A6" s="146" t="s">
        <v>7</v>
      </c>
      <c r="B6" s="145" t="s">
        <v>8</v>
      </c>
      <c r="C6" s="144" t="s">
        <v>9</v>
      </c>
      <c r="D6" s="147" t="s">
        <v>10</v>
      </c>
      <c r="E6" s="148" t="s">
        <v>11</v>
      </c>
      <c r="F6" s="150" t="s">
        <v>12</v>
      </c>
      <c r="G6" s="149" t="s">
        <v>13</v>
      </c>
    </row>
    <row r="7" spans="1:9" s="59" customFormat="1">
      <c r="A7" s="2">
        <v>1</v>
      </c>
      <c r="B7" s="131"/>
      <c r="C7" s="132"/>
      <c r="D7" s="133"/>
      <c r="E7" s="134"/>
      <c r="F7" s="135"/>
      <c r="G7" s="135"/>
      <c r="H7" s="129"/>
    </row>
    <row r="8" spans="1:9" s="59" customFormat="1" ht="25.5">
      <c r="A8" s="136" t="s">
        <v>15</v>
      </c>
      <c r="B8" s="3"/>
      <c r="C8" s="132" t="s">
        <v>243</v>
      </c>
      <c r="D8" s="117" t="s">
        <v>10</v>
      </c>
      <c r="E8" s="118" t="s">
        <v>11</v>
      </c>
      <c r="F8" s="119" t="s">
        <v>12</v>
      </c>
      <c r="G8" s="119" t="s">
        <v>152</v>
      </c>
      <c r="H8" s="129"/>
    </row>
    <row r="9" spans="1:9" s="59" customFormat="1" ht="36">
      <c r="A9" s="93" t="s">
        <v>16</v>
      </c>
      <c r="B9" s="101" t="s">
        <v>40</v>
      </c>
      <c r="C9" s="100" t="s">
        <v>242</v>
      </c>
      <c r="D9" s="85" t="s">
        <v>128</v>
      </c>
      <c r="E9" s="74">
        <v>1</v>
      </c>
      <c r="F9" s="76">
        <v>218.54</v>
      </c>
      <c r="G9" s="76">
        <f t="shared" ref="G9:G22" si="0">E9*F9</f>
        <v>218.54</v>
      </c>
      <c r="H9" s="125"/>
    </row>
    <row r="10" spans="1:9" s="59" customFormat="1" ht="24">
      <c r="A10" s="93" t="s">
        <v>244</v>
      </c>
      <c r="B10" s="88" t="s">
        <v>241</v>
      </c>
      <c r="C10" s="99" t="s">
        <v>240</v>
      </c>
      <c r="D10" s="85" t="s">
        <v>25</v>
      </c>
      <c r="E10" s="74">
        <v>912.94</v>
      </c>
      <c r="F10" s="76">
        <f>3*0.66</f>
        <v>1.98</v>
      </c>
      <c r="G10" s="76">
        <f t="shared" si="0"/>
        <v>1807.6212</v>
      </c>
      <c r="H10" s="125"/>
    </row>
    <row r="11" spans="1:9" s="59" customFormat="1" ht="24">
      <c r="A11" s="93" t="s">
        <v>245</v>
      </c>
      <c r="B11" s="88" t="s">
        <v>42</v>
      </c>
      <c r="C11" s="89" t="s">
        <v>420</v>
      </c>
      <c r="D11" s="85" t="s">
        <v>25</v>
      </c>
      <c r="E11" s="74">
        <v>3</v>
      </c>
      <c r="F11" s="76">
        <v>348.3</v>
      </c>
      <c r="G11" s="76">
        <f t="shared" si="0"/>
        <v>1044.9000000000001</v>
      </c>
      <c r="H11" s="125"/>
    </row>
    <row r="12" spans="1:9" s="59" customFormat="1" ht="24">
      <c r="A12" s="223"/>
      <c r="B12" s="88" t="s">
        <v>421</v>
      </c>
      <c r="C12" s="89" t="s">
        <v>422</v>
      </c>
      <c r="D12" s="85" t="s">
        <v>25</v>
      </c>
      <c r="E12" s="74">
        <v>6</v>
      </c>
      <c r="F12" s="76">
        <v>348.3</v>
      </c>
      <c r="G12" s="76">
        <f t="shared" si="0"/>
        <v>2089.8000000000002</v>
      </c>
      <c r="H12" s="125"/>
    </row>
    <row r="13" spans="1:9" s="59" customFormat="1" ht="48">
      <c r="A13" s="93" t="s">
        <v>288</v>
      </c>
      <c r="B13" s="88" t="s">
        <v>246</v>
      </c>
      <c r="C13" s="89" t="s">
        <v>43</v>
      </c>
      <c r="D13" s="98" t="s">
        <v>19</v>
      </c>
      <c r="E13" s="74">
        <v>3</v>
      </c>
      <c r="F13" s="76">
        <f>488.28+150</f>
        <v>638.28</v>
      </c>
      <c r="G13" s="76">
        <f t="shared" si="0"/>
        <v>1914.84</v>
      </c>
      <c r="H13" s="125"/>
    </row>
    <row r="14" spans="1:9" s="59" customFormat="1" ht="48">
      <c r="A14" s="93" t="s">
        <v>289</v>
      </c>
      <c r="B14" s="88" t="s">
        <v>246</v>
      </c>
      <c r="C14" s="97" t="s">
        <v>44</v>
      </c>
      <c r="D14" s="98" t="s">
        <v>19</v>
      </c>
      <c r="E14" s="74">
        <v>3</v>
      </c>
      <c r="F14" s="76">
        <f>488.28+150</f>
        <v>638.28</v>
      </c>
      <c r="G14" s="76">
        <f t="shared" si="0"/>
        <v>1914.84</v>
      </c>
      <c r="H14" s="125"/>
    </row>
    <row r="15" spans="1:9" s="59" customFormat="1" ht="22.5">
      <c r="A15" s="93" t="s">
        <v>41</v>
      </c>
      <c r="B15" s="78" t="s">
        <v>210</v>
      </c>
      <c r="C15" s="142" t="s">
        <v>411</v>
      </c>
      <c r="D15" s="141" t="s">
        <v>286</v>
      </c>
      <c r="E15" s="140">
        <f>(216+51.2)</f>
        <v>267.2</v>
      </c>
      <c r="F15" s="139">
        <f>7.5*3</f>
        <v>22.5</v>
      </c>
      <c r="G15" s="139">
        <f t="shared" si="0"/>
        <v>6012</v>
      </c>
      <c r="H15" s="138" t="s">
        <v>287</v>
      </c>
    </row>
    <row r="16" spans="1:9" s="59" customFormat="1" ht="24">
      <c r="A16" s="93" t="s">
        <v>17</v>
      </c>
      <c r="B16" s="105">
        <v>97064</v>
      </c>
      <c r="C16" s="104" t="s">
        <v>255</v>
      </c>
      <c r="D16" s="67" t="s">
        <v>25</v>
      </c>
      <c r="E16" s="68">
        <f>216*2</f>
        <v>432</v>
      </c>
      <c r="F16" s="69">
        <v>11.92</v>
      </c>
      <c r="G16" s="69">
        <f t="shared" si="0"/>
        <v>5149.4399999999996</v>
      </c>
      <c r="H16" s="128"/>
      <c r="I16" s="59">
        <f>3.2*28.2+3.2*39.3</f>
        <v>216</v>
      </c>
    </row>
    <row r="17" spans="1:16" s="59" customFormat="1" ht="24">
      <c r="A17" s="93" t="s">
        <v>290</v>
      </c>
      <c r="B17" s="105">
        <v>97066</v>
      </c>
      <c r="C17" s="104" t="s">
        <v>412</v>
      </c>
      <c r="D17" s="67" t="s">
        <v>25</v>
      </c>
      <c r="E17" s="68">
        <f>16*3.2</f>
        <v>51.2</v>
      </c>
      <c r="F17" s="69">
        <v>123.18</v>
      </c>
      <c r="G17" s="69">
        <f t="shared" si="0"/>
        <v>6306.8160000000007</v>
      </c>
      <c r="H17" s="128"/>
    </row>
    <row r="18" spans="1:16" s="59" customFormat="1">
      <c r="A18" s="223"/>
      <c r="B18" s="222" t="s">
        <v>47</v>
      </c>
      <c r="C18" s="221" t="s">
        <v>417</v>
      </c>
      <c r="D18" s="85" t="s">
        <v>25</v>
      </c>
      <c r="E18" s="86">
        <f>28.2*6</f>
        <v>169.2</v>
      </c>
      <c r="F18" s="87">
        <v>3.29</v>
      </c>
      <c r="G18" s="87">
        <f t="shared" si="0"/>
        <v>556.66800000000001</v>
      </c>
      <c r="H18" s="128"/>
      <c r="I18" s="59" t="s">
        <v>418</v>
      </c>
    </row>
    <row r="19" spans="1:16" s="59" customFormat="1" ht="24">
      <c r="A19" s="223" t="s">
        <v>291</v>
      </c>
      <c r="B19" s="105" t="s">
        <v>45</v>
      </c>
      <c r="C19" s="106" t="s">
        <v>256</v>
      </c>
      <c r="D19" s="85" t="s">
        <v>25</v>
      </c>
      <c r="E19" s="74">
        <f>(28.2+39.3)*2.2</f>
        <v>148.5</v>
      </c>
      <c r="F19" s="76">
        <v>47.69</v>
      </c>
      <c r="G19" s="76">
        <f t="shared" si="0"/>
        <v>7081.9649999999992</v>
      </c>
      <c r="H19" s="125"/>
    </row>
    <row r="20" spans="1:16" s="59" customFormat="1" ht="60">
      <c r="A20" s="93" t="s">
        <v>292</v>
      </c>
      <c r="B20" s="105">
        <v>85424</v>
      </c>
      <c r="C20" s="106" t="s">
        <v>247</v>
      </c>
      <c r="D20" s="85" t="s">
        <v>25</v>
      </c>
      <c r="E20" s="74">
        <v>150</v>
      </c>
      <c r="F20" s="76">
        <v>19.72</v>
      </c>
      <c r="G20" s="76">
        <f t="shared" si="0"/>
        <v>2958</v>
      </c>
      <c r="H20" s="125"/>
    </row>
    <row r="21" spans="1:16" s="59" customFormat="1" ht="24.75" thickBot="1">
      <c r="A21" s="93" t="s">
        <v>293</v>
      </c>
      <c r="B21" s="105">
        <v>3777</v>
      </c>
      <c r="C21" s="107" t="s">
        <v>248</v>
      </c>
      <c r="D21" s="85" t="s">
        <v>25</v>
      </c>
      <c r="E21" s="74">
        <v>337.5</v>
      </c>
      <c r="F21" s="76">
        <v>1.17</v>
      </c>
      <c r="G21" s="76">
        <f t="shared" si="0"/>
        <v>394.875</v>
      </c>
      <c r="H21" s="125"/>
      <c r="I21" s="59">
        <f>2.5*28.2*2+39.3*2.5*2</f>
        <v>337.5</v>
      </c>
    </row>
    <row r="22" spans="1:16" s="59" customFormat="1" ht="33" customHeight="1">
      <c r="A22" s="93" t="s">
        <v>294</v>
      </c>
      <c r="B22" s="108">
        <v>72897</v>
      </c>
      <c r="C22" s="107" t="s">
        <v>250</v>
      </c>
      <c r="D22" s="85" t="s">
        <v>22</v>
      </c>
      <c r="E22" s="74">
        <f>(1.74+6.8+7.06+48.6)*1.3</f>
        <v>83.460000000000008</v>
      </c>
      <c r="F22" s="76">
        <v>16.5</v>
      </c>
      <c r="G22" s="76">
        <f t="shared" si="0"/>
        <v>1377.0900000000001</v>
      </c>
      <c r="H22" s="125"/>
      <c r="J22" s="749" t="s">
        <v>268</v>
      </c>
      <c r="K22" s="750"/>
      <c r="L22" s="750"/>
      <c r="M22" s="750"/>
      <c r="N22" s="750"/>
      <c r="O22" s="750"/>
      <c r="P22" s="751"/>
    </row>
    <row r="23" spans="1:16" s="59" customFormat="1" ht="24.75" thickBot="1">
      <c r="A23" s="93" t="s">
        <v>295</v>
      </c>
      <c r="B23" s="105"/>
      <c r="C23" s="109" t="s">
        <v>439</v>
      </c>
      <c r="D23" s="85" t="s">
        <v>128</v>
      </c>
      <c r="E23" s="74">
        <v>24</v>
      </c>
      <c r="F23" s="76"/>
      <c r="G23" s="76"/>
      <c r="H23" s="125"/>
      <c r="I23" s="59">
        <f>E22/5</f>
        <v>16.692</v>
      </c>
      <c r="J23" s="752"/>
      <c r="K23" s="753"/>
      <c r="L23" s="753"/>
      <c r="M23" s="753"/>
      <c r="N23" s="753"/>
      <c r="O23" s="753"/>
      <c r="P23" s="754"/>
    </row>
    <row r="24" spans="1:16" s="59" customFormat="1" ht="36">
      <c r="A24" s="93" t="s">
        <v>296</v>
      </c>
      <c r="B24" s="110">
        <v>90776</v>
      </c>
      <c r="C24" s="111" t="s">
        <v>46</v>
      </c>
      <c r="D24" s="85" t="s">
        <v>20</v>
      </c>
      <c r="E24" s="74">
        <v>480</v>
      </c>
      <c r="F24" s="76">
        <v>16.78</v>
      </c>
      <c r="G24" s="76">
        <f>E24*F24</f>
        <v>8054.4000000000005</v>
      </c>
      <c r="H24" s="125"/>
      <c r="I24" s="59">
        <f>8*5*12</f>
        <v>480</v>
      </c>
      <c r="L24" s="5"/>
    </row>
    <row r="25" spans="1:16" s="59" customFormat="1">
      <c r="A25" s="93"/>
      <c r="B25" s="88"/>
      <c r="C25" s="89"/>
      <c r="D25" s="85"/>
      <c r="E25" s="74"/>
      <c r="F25" s="76"/>
      <c r="G25" s="76"/>
      <c r="H25" s="125"/>
    </row>
    <row r="26" spans="1:16" s="59" customFormat="1">
      <c r="A26" s="93"/>
      <c r="B26" s="19"/>
      <c r="C26" s="19"/>
      <c r="D26" s="19"/>
      <c r="E26" s="19"/>
      <c r="F26" s="102" t="s">
        <v>151</v>
      </c>
      <c r="G26" s="102">
        <f>SUM(G9:G24)</f>
        <v>46881.7952</v>
      </c>
      <c r="H26" s="126"/>
    </row>
    <row r="27" spans="1:16">
      <c r="A27" s="93"/>
      <c r="B27" s="19"/>
      <c r="C27" s="19"/>
      <c r="D27" s="19"/>
      <c r="E27" s="19"/>
      <c r="F27" s="19"/>
      <c r="G27" s="19"/>
      <c r="H27" s="130"/>
    </row>
    <row r="28" spans="1:16">
      <c r="A28" s="93"/>
      <c r="B28" s="131"/>
      <c r="C28" s="132" t="s">
        <v>14</v>
      </c>
      <c r="D28" s="133"/>
      <c r="E28" s="134"/>
      <c r="F28" s="135"/>
      <c r="G28" s="135"/>
      <c r="H28" s="129"/>
    </row>
    <row r="29" spans="1:16" ht="25.5">
      <c r="A29" s="93" t="s">
        <v>297</v>
      </c>
      <c r="B29" s="3"/>
      <c r="C29" s="1" t="s">
        <v>56</v>
      </c>
      <c r="D29" s="117" t="s">
        <v>10</v>
      </c>
      <c r="E29" s="118" t="s">
        <v>11</v>
      </c>
      <c r="F29" s="119" t="s">
        <v>12</v>
      </c>
      <c r="G29" s="119" t="s">
        <v>152</v>
      </c>
      <c r="H29" s="129"/>
    </row>
    <row r="30" spans="1:16" ht="24">
      <c r="A30" s="93" t="s">
        <v>298</v>
      </c>
      <c r="B30" s="71" t="s">
        <v>169</v>
      </c>
      <c r="C30" s="72" t="s">
        <v>60</v>
      </c>
      <c r="D30" s="73" t="s">
        <v>25</v>
      </c>
      <c r="E30" s="74">
        <v>90.24</v>
      </c>
      <c r="F30" s="76">
        <v>20.28</v>
      </c>
      <c r="G30" s="76">
        <f>F30*E30</f>
        <v>1830.0672</v>
      </c>
      <c r="H30" s="128"/>
      <c r="I30">
        <f>28.3*1.6*2</f>
        <v>90.56</v>
      </c>
      <c r="J30">
        <f>28.3*1.7*2*0.05</f>
        <v>4.8109999999999999</v>
      </c>
    </row>
    <row r="31" spans="1:16">
      <c r="A31" s="93" t="s">
        <v>299</v>
      </c>
      <c r="B31" s="71">
        <v>73616</v>
      </c>
      <c r="C31" s="112" t="s">
        <v>58</v>
      </c>
      <c r="D31" s="73" t="s">
        <v>22</v>
      </c>
      <c r="E31" s="74">
        <v>4.82</v>
      </c>
      <c r="F31" s="75">
        <v>194.67</v>
      </c>
      <c r="G31" s="76">
        <f>F31*E31</f>
        <v>938.30939999999998</v>
      </c>
      <c r="H31" s="125"/>
      <c r="I31" s="151" t="s">
        <v>59</v>
      </c>
      <c r="J31" s="4">
        <f>(0.7*1.2*0.15*1.15*12)</f>
        <v>1.7387999999999999</v>
      </c>
    </row>
    <row r="32" spans="1:16" ht="48">
      <c r="A32" s="93" t="s">
        <v>300</v>
      </c>
      <c r="B32" s="71">
        <v>90883</v>
      </c>
      <c r="C32" s="72" t="s">
        <v>61</v>
      </c>
      <c r="D32" s="113" t="s">
        <v>26</v>
      </c>
      <c r="E32" s="74">
        <v>96</v>
      </c>
      <c r="F32" s="75">
        <v>60.74</v>
      </c>
      <c r="G32" s="76">
        <f>F32*E32</f>
        <v>5831.04</v>
      </c>
      <c r="H32" s="125"/>
    </row>
    <row r="33" spans="1:14" ht="24">
      <c r="A33" s="93" t="s">
        <v>301</v>
      </c>
      <c r="B33" s="71">
        <v>96523</v>
      </c>
      <c r="C33" s="72" t="s">
        <v>57</v>
      </c>
      <c r="D33" s="113" t="s">
        <v>22</v>
      </c>
      <c r="E33" s="74">
        <v>7.06</v>
      </c>
      <c r="F33" s="75">
        <v>61.57</v>
      </c>
      <c r="G33" s="76">
        <f>E33*F33</f>
        <v>434.68419999999998</v>
      </c>
      <c r="H33" s="125"/>
      <c r="J33" s="19">
        <f>0.2*1.2*0.7*12</f>
        <v>2.016</v>
      </c>
      <c r="K33" s="19">
        <f>0.5*0.7*1.2*12</f>
        <v>5.04</v>
      </c>
      <c r="L33" s="19">
        <f>K33+J33</f>
        <v>7.056</v>
      </c>
      <c r="M33" s="19" t="s">
        <v>109</v>
      </c>
      <c r="N33" s="19"/>
    </row>
    <row r="34" spans="1:14" ht="44.25" customHeight="1">
      <c r="A34" s="93" t="s">
        <v>302</v>
      </c>
      <c r="B34" s="71">
        <v>96537</v>
      </c>
      <c r="C34" s="72" t="s">
        <v>67</v>
      </c>
      <c r="D34" s="73" t="s">
        <v>25</v>
      </c>
      <c r="E34" s="74">
        <v>19.8</v>
      </c>
      <c r="F34" s="75">
        <v>116.04</v>
      </c>
      <c r="G34" s="76">
        <f>E34*F34</f>
        <v>2297.5920000000001</v>
      </c>
      <c r="H34" s="125"/>
      <c r="J34" s="59">
        <f>((0.5*0.5*2)+(1*0.5*2))*12*1.1</f>
        <v>19.8</v>
      </c>
    </row>
    <row r="35" spans="1:14" ht="44.25" customHeight="1">
      <c r="A35" s="93" t="s">
        <v>303</v>
      </c>
      <c r="B35" s="83">
        <v>1527</v>
      </c>
      <c r="C35" s="242" t="s">
        <v>154</v>
      </c>
      <c r="D35" s="85" t="s">
        <v>22</v>
      </c>
      <c r="E35" s="86">
        <v>6.8</v>
      </c>
      <c r="F35" s="87">
        <v>286.57</v>
      </c>
      <c r="G35" s="76">
        <f>E35*F35</f>
        <v>1948.6759999999999</v>
      </c>
      <c r="H35" s="125"/>
      <c r="J35" s="19">
        <f>0.15*0.15*3.14*8*12</f>
        <v>6.7824000000000009</v>
      </c>
      <c r="K35" s="19"/>
    </row>
    <row r="36" spans="1:14" ht="44.25" customHeight="1">
      <c r="A36" s="93" t="s">
        <v>304</v>
      </c>
      <c r="B36" s="83">
        <v>4718</v>
      </c>
      <c r="C36" s="84" t="s">
        <v>71</v>
      </c>
      <c r="D36" s="85" t="s">
        <v>22</v>
      </c>
      <c r="E36" s="86">
        <v>0.3</v>
      </c>
      <c r="F36" s="87">
        <v>80.23</v>
      </c>
      <c r="G36" s="76">
        <f>E36*F36</f>
        <v>24.068999999999999</v>
      </c>
      <c r="H36" s="125"/>
      <c r="J36">
        <f>0.5*1*0.05*12</f>
        <v>0.30000000000000004</v>
      </c>
    </row>
    <row r="37" spans="1:14" ht="24">
      <c r="A37" s="93" t="s">
        <v>305</v>
      </c>
      <c r="B37" s="71">
        <v>94969</v>
      </c>
      <c r="C37" s="84" t="s">
        <v>73</v>
      </c>
      <c r="D37" s="73" t="s">
        <v>22</v>
      </c>
      <c r="E37" s="74">
        <f>0.7</f>
        <v>0.7</v>
      </c>
      <c r="F37" s="75">
        <v>283.06</v>
      </c>
      <c r="G37" s="76">
        <f>F37*E37</f>
        <v>198.142</v>
      </c>
      <c r="H37" s="125"/>
      <c r="J37">
        <f>0.5*1*0.05*12</f>
        <v>0.30000000000000004</v>
      </c>
    </row>
    <row r="38" spans="1:14" ht="36">
      <c r="A38" s="93" t="s">
        <v>306</v>
      </c>
      <c r="B38" s="71">
        <v>96555</v>
      </c>
      <c r="C38" s="72" t="s">
        <v>62</v>
      </c>
      <c r="D38" s="73" t="s">
        <v>22</v>
      </c>
      <c r="E38" s="74">
        <f>3</f>
        <v>3</v>
      </c>
      <c r="F38" s="75">
        <v>443.8</v>
      </c>
      <c r="G38" s="76">
        <f>F38*E38</f>
        <v>1331.4</v>
      </c>
      <c r="H38" s="125"/>
      <c r="J38">
        <f>0.5*0.5*1*12</f>
        <v>3</v>
      </c>
    </row>
    <row r="39" spans="1:14" ht="24">
      <c r="A39" s="93" t="s">
        <v>307</v>
      </c>
      <c r="B39" s="71">
        <v>96546</v>
      </c>
      <c r="C39" s="72" t="s">
        <v>65</v>
      </c>
      <c r="D39" s="73" t="s">
        <v>63</v>
      </c>
      <c r="E39" s="74">
        <f>232</f>
        <v>232</v>
      </c>
      <c r="F39" s="75">
        <v>7.3</v>
      </c>
      <c r="G39" s="76">
        <f t="shared" ref="G39:G42" si="1">F39*E39</f>
        <v>1693.6</v>
      </c>
      <c r="H39" s="125"/>
    </row>
    <row r="40" spans="1:14" ht="24">
      <c r="A40" s="93" t="s">
        <v>308</v>
      </c>
      <c r="B40" s="71" t="s">
        <v>64</v>
      </c>
      <c r="C40" s="72" t="s">
        <v>66</v>
      </c>
      <c r="D40" s="73" t="s">
        <v>63</v>
      </c>
      <c r="E40" s="74">
        <f>(35+38)</f>
        <v>73</v>
      </c>
      <c r="F40" s="75">
        <v>9.42</v>
      </c>
      <c r="G40" s="76">
        <f t="shared" si="1"/>
        <v>687.66</v>
      </c>
      <c r="H40" s="125"/>
    </row>
    <row r="41" spans="1:14" s="45" customFormat="1" ht="36">
      <c r="A41" s="93" t="s">
        <v>309</v>
      </c>
      <c r="B41" s="71">
        <v>73548</v>
      </c>
      <c r="C41" s="72" t="s">
        <v>153</v>
      </c>
      <c r="D41" s="73" t="s">
        <v>22</v>
      </c>
      <c r="E41" s="74">
        <v>0.2</v>
      </c>
      <c r="F41" s="75">
        <v>477.6</v>
      </c>
      <c r="G41" s="76">
        <f t="shared" si="1"/>
        <v>95.52000000000001</v>
      </c>
      <c r="H41" s="125"/>
      <c r="J41" s="45">
        <f>0.5*0.5*2+0.5*1*3</f>
        <v>2</v>
      </c>
    </row>
    <row r="42" spans="1:14" ht="24">
      <c r="A42" s="93" t="s">
        <v>310</v>
      </c>
      <c r="B42" s="71" t="s">
        <v>70</v>
      </c>
      <c r="C42" s="72" t="s">
        <v>69</v>
      </c>
      <c r="D42" s="73" t="s">
        <v>25</v>
      </c>
      <c r="E42" s="74">
        <v>19.8</v>
      </c>
      <c r="F42" s="75">
        <v>7.94</v>
      </c>
      <c r="G42" s="76">
        <f t="shared" si="1"/>
        <v>157.21200000000002</v>
      </c>
      <c r="H42" s="125"/>
      <c r="J42" s="59">
        <f>(0.5*0.55*2)+0.55*2</f>
        <v>1.6500000000000001</v>
      </c>
      <c r="K42">
        <f>J42*12</f>
        <v>19.8</v>
      </c>
    </row>
    <row r="43" spans="1:14" s="59" customFormat="1">
      <c r="A43" s="19"/>
      <c r="B43" s="71"/>
      <c r="C43" s="72"/>
      <c r="D43" s="73"/>
      <c r="E43" s="74"/>
      <c r="F43" s="75"/>
      <c r="G43" s="76"/>
      <c r="H43" s="125"/>
    </row>
    <row r="44" spans="1:14" ht="24" customHeight="1">
      <c r="A44" s="19"/>
      <c r="B44" s="71"/>
      <c r="C44" s="72"/>
      <c r="D44" s="73"/>
      <c r="E44" s="74"/>
      <c r="F44" s="102" t="s">
        <v>151</v>
      </c>
      <c r="G44" s="102">
        <f>SUM(G30:G42)</f>
        <v>17467.971799999999</v>
      </c>
      <c r="H44" s="126"/>
    </row>
    <row r="45" spans="1:14" s="59" customFormat="1" ht="24" customHeight="1">
      <c r="A45" s="19"/>
      <c r="B45" s="71"/>
      <c r="C45" s="84"/>
      <c r="D45" s="85"/>
      <c r="E45" s="86"/>
      <c r="F45" s="114"/>
      <c r="G45" s="114"/>
      <c r="H45" s="126"/>
    </row>
    <row r="46" spans="1:14" ht="25.5">
      <c r="A46" s="115">
        <v>2</v>
      </c>
      <c r="B46" s="115"/>
      <c r="C46" s="116" t="s">
        <v>129</v>
      </c>
      <c r="D46" s="117" t="s">
        <v>10</v>
      </c>
      <c r="E46" s="118" t="s">
        <v>11</v>
      </c>
      <c r="F46" s="119" t="s">
        <v>12</v>
      </c>
      <c r="G46" s="119" t="s">
        <v>152</v>
      </c>
      <c r="H46" s="129"/>
    </row>
    <row r="47" spans="1:14" s="45" customFormat="1" ht="24">
      <c r="A47" s="83" t="s">
        <v>23</v>
      </c>
      <c r="B47" s="71" t="s">
        <v>185</v>
      </c>
      <c r="C47" s="72" t="s">
        <v>184</v>
      </c>
      <c r="D47" s="73" t="s">
        <v>25</v>
      </c>
      <c r="E47" s="74">
        <v>96.22</v>
      </c>
      <c r="F47" s="75">
        <v>19.100000000000001</v>
      </c>
      <c r="G47" s="120">
        <f t="shared" ref="G47:G58" si="2">E47*F47</f>
        <v>1837.8020000000001</v>
      </c>
      <c r="H47" s="127"/>
      <c r="J47" s="45">
        <f>28.3*2*1.7</f>
        <v>96.22</v>
      </c>
    </row>
    <row r="48" spans="1:14" ht="24">
      <c r="A48" s="83" t="s">
        <v>24</v>
      </c>
      <c r="B48" s="83" t="s">
        <v>106</v>
      </c>
      <c r="C48" s="72" t="s">
        <v>206</v>
      </c>
      <c r="D48" s="85" t="s">
        <v>63</v>
      </c>
      <c r="E48" s="86">
        <f>Composições!M12</f>
        <v>1164</v>
      </c>
      <c r="F48" s="87">
        <f>Composições!L13</f>
        <v>16.896660000000001</v>
      </c>
      <c r="G48" s="87">
        <f t="shared" si="2"/>
        <v>19667.712240000001</v>
      </c>
      <c r="H48" s="128"/>
      <c r="I48" s="5" t="s">
        <v>107</v>
      </c>
      <c r="J48" s="59" t="s">
        <v>189</v>
      </c>
      <c r="M48" s="59" t="s">
        <v>233</v>
      </c>
    </row>
    <row r="49" spans="1:18">
      <c r="A49" s="83" t="s">
        <v>311</v>
      </c>
      <c r="B49" s="71" t="s">
        <v>113</v>
      </c>
      <c r="C49" s="72" t="s">
        <v>118</v>
      </c>
      <c r="D49" s="73" t="s">
        <v>63</v>
      </c>
      <c r="E49" s="74">
        <f>Composições!M20</f>
        <v>95.76</v>
      </c>
      <c r="F49" s="75">
        <f>Composições!L21</f>
        <v>6.9345000000000008</v>
      </c>
      <c r="G49" s="76">
        <f t="shared" si="2"/>
        <v>664.04772000000014</v>
      </c>
      <c r="H49" s="125"/>
    </row>
    <row r="50" spans="1:18">
      <c r="A50" s="83" t="s">
        <v>312</v>
      </c>
      <c r="B50" s="71" t="s">
        <v>124</v>
      </c>
      <c r="C50" s="72" t="s">
        <v>117</v>
      </c>
      <c r="D50" s="73" t="s">
        <v>63</v>
      </c>
      <c r="E50" s="74">
        <f>Composições!M28</f>
        <v>239.28</v>
      </c>
      <c r="F50" s="75">
        <f>Composições!L29</f>
        <v>7.8782999999999994</v>
      </c>
      <c r="G50" s="76">
        <f t="shared" si="2"/>
        <v>1885.1196239999999</v>
      </c>
      <c r="H50" s="125"/>
    </row>
    <row r="51" spans="1:18" ht="24">
      <c r="A51" s="83" t="s">
        <v>313</v>
      </c>
      <c r="B51" s="71" t="s">
        <v>125</v>
      </c>
      <c r="C51" s="72" t="s">
        <v>122</v>
      </c>
      <c r="D51" s="73" t="s">
        <v>63</v>
      </c>
      <c r="E51" s="74">
        <v>387.6</v>
      </c>
      <c r="F51" s="75">
        <f>Composições!L36</f>
        <v>12.317880000000001</v>
      </c>
      <c r="G51" s="76">
        <f t="shared" si="2"/>
        <v>4774.4102880000009</v>
      </c>
      <c r="H51" s="125"/>
      <c r="I51" s="59" t="s">
        <v>189</v>
      </c>
    </row>
    <row r="52" spans="1:18">
      <c r="A52" s="83" t="s">
        <v>314</v>
      </c>
      <c r="B52" s="71" t="s">
        <v>126</v>
      </c>
      <c r="C52" s="72" t="s">
        <v>121</v>
      </c>
      <c r="D52" s="73" t="s">
        <v>63</v>
      </c>
      <c r="E52" s="74">
        <f>Composições!M42</f>
        <v>54</v>
      </c>
      <c r="F52" s="75">
        <f>Composições!L43</f>
        <v>6.9321000000000002</v>
      </c>
      <c r="G52" s="76">
        <f t="shared" si="2"/>
        <v>374.33339999999998</v>
      </c>
      <c r="H52" s="125"/>
    </row>
    <row r="53" spans="1:18" s="59" customFormat="1" ht="24">
      <c r="A53" s="83" t="s">
        <v>315</v>
      </c>
      <c r="B53" s="71">
        <v>6391</v>
      </c>
      <c r="C53" s="72" t="s">
        <v>186</v>
      </c>
      <c r="D53" s="73" t="s">
        <v>26</v>
      </c>
      <c r="E53" s="74">
        <f>19.2</f>
        <v>19.2</v>
      </c>
      <c r="F53" s="75">
        <v>131.61000000000001</v>
      </c>
      <c r="G53" s="76">
        <f t="shared" si="2"/>
        <v>2526.9120000000003</v>
      </c>
      <c r="H53" s="125"/>
      <c r="J53" s="59">
        <f>((0.2+0.2)*24+((0.1+0.1)*4*12))</f>
        <v>19.200000000000003</v>
      </c>
      <c r="K53" s="59" t="s">
        <v>26</v>
      </c>
      <c r="P53" s="59">
        <f>1/4*2.54</f>
        <v>0.63500000000000001</v>
      </c>
    </row>
    <row r="54" spans="1:18" ht="24">
      <c r="A54" s="83" t="s">
        <v>316</v>
      </c>
      <c r="B54" s="71">
        <v>11963</v>
      </c>
      <c r="C54" s="72" t="s">
        <v>127</v>
      </c>
      <c r="D54" s="73" t="s">
        <v>128</v>
      </c>
      <c r="E54" s="74">
        <v>24</v>
      </c>
      <c r="F54" s="75">
        <v>5.46</v>
      </c>
      <c r="G54" s="76">
        <f t="shared" si="2"/>
        <v>131.04</v>
      </c>
      <c r="H54" s="125"/>
      <c r="P54">
        <f>3/8*2.54</f>
        <v>0.95250000000000001</v>
      </c>
    </row>
    <row r="55" spans="1:18" ht="24">
      <c r="A55" s="83" t="s">
        <v>317</v>
      </c>
      <c r="B55" s="71">
        <v>83736</v>
      </c>
      <c r="C55" s="72" t="s">
        <v>139</v>
      </c>
      <c r="D55" s="73" t="s">
        <v>25</v>
      </c>
      <c r="E55" s="74">
        <v>5</v>
      </c>
      <c r="F55" s="75">
        <v>163.30000000000001</v>
      </c>
      <c r="G55" s="76">
        <f t="shared" si="2"/>
        <v>816.5</v>
      </c>
      <c r="H55" s="125"/>
      <c r="I55" t="s">
        <v>228</v>
      </c>
      <c r="J55" s="64" t="s">
        <v>227</v>
      </c>
      <c r="P55">
        <f>5/16*2.54</f>
        <v>0.79374999999999996</v>
      </c>
    </row>
    <row r="56" spans="1:18">
      <c r="A56" s="83" t="s">
        <v>318</v>
      </c>
      <c r="B56" s="71" t="s">
        <v>135</v>
      </c>
      <c r="C56" s="72" t="s">
        <v>146</v>
      </c>
      <c r="D56" s="73" t="s">
        <v>63</v>
      </c>
      <c r="E56" s="74">
        <v>120</v>
      </c>
      <c r="F56" s="75">
        <v>29.47</v>
      </c>
      <c r="G56" s="76">
        <f t="shared" si="2"/>
        <v>3536.3999999999996</v>
      </c>
      <c r="H56" s="125"/>
    </row>
    <row r="57" spans="1:18" s="59" customFormat="1" ht="22.5">
      <c r="A57" s="83" t="s">
        <v>319</v>
      </c>
      <c r="B57" s="78" t="s">
        <v>210</v>
      </c>
      <c r="C57" s="79" t="s">
        <v>234</v>
      </c>
      <c r="D57" s="80" t="s">
        <v>128</v>
      </c>
      <c r="E57" s="81">
        <v>24</v>
      </c>
      <c r="F57" s="121">
        <v>10.4</v>
      </c>
      <c r="G57" s="82">
        <f t="shared" si="2"/>
        <v>249.60000000000002</v>
      </c>
      <c r="H57" s="128"/>
      <c r="I57" s="59" t="s">
        <v>235</v>
      </c>
      <c r="J57" s="59" t="s">
        <v>236</v>
      </c>
      <c r="L57" s="59" t="s">
        <v>237</v>
      </c>
      <c r="M57" s="77" t="s">
        <v>239</v>
      </c>
      <c r="O57" s="59">
        <f>52*0.2</f>
        <v>10.4</v>
      </c>
    </row>
    <row r="58" spans="1:18" s="59" customFormat="1">
      <c r="A58" s="83" t="s">
        <v>320</v>
      </c>
      <c r="B58" s="83">
        <v>11971</v>
      </c>
      <c r="C58" s="72" t="s">
        <v>238</v>
      </c>
      <c r="D58" s="85" t="s">
        <v>128</v>
      </c>
      <c r="E58" s="86">
        <v>24</v>
      </c>
      <c r="F58" s="122">
        <v>2.44</v>
      </c>
      <c r="G58" s="87">
        <f t="shared" si="2"/>
        <v>58.56</v>
      </c>
      <c r="H58" s="128"/>
    </row>
    <row r="59" spans="1:18" s="59" customFormat="1">
      <c r="A59" s="83" t="s">
        <v>321</v>
      </c>
      <c r="B59" s="71">
        <v>4004</v>
      </c>
      <c r="C59" s="72" t="s">
        <v>232</v>
      </c>
      <c r="D59" s="73" t="s">
        <v>22</v>
      </c>
      <c r="E59" s="74">
        <f>0.1*0.4*0.4*12</f>
        <v>0.19200000000000006</v>
      </c>
      <c r="F59" s="75">
        <v>1350</v>
      </c>
      <c r="G59" s="76">
        <f>E59*F59</f>
        <v>259.2000000000001</v>
      </c>
      <c r="H59" s="128"/>
    </row>
    <row r="60" spans="1:18" ht="22.5">
      <c r="A60" s="83" t="s">
        <v>322</v>
      </c>
      <c r="B60" s="83" t="s">
        <v>210</v>
      </c>
      <c r="C60" s="72" t="s">
        <v>280</v>
      </c>
      <c r="D60" s="85" t="s">
        <v>128</v>
      </c>
      <c r="E60" s="74">
        <v>12</v>
      </c>
      <c r="F60" s="75">
        <v>96.24</v>
      </c>
      <c r="G60" s="76">
        <f>E60*F60</f>
        <v>1154.8799999999999</v>
      </c>
      <c r="H60" s="128"/>
      <c r="I60" s="59" t="s">
        <v>281</v>
      </c>
    </row>
    <row r="61" spans="1:18" s="59" customFormat="1">
      <c r="A61" s="19"/>
      <c r="B61" s="83"/>
      <c r="C61" s="72"/>
      <c r="D61" s="85"/>
      <c r="E61" s="74"/>
      <c r="F61" s="75"/>
      <c r="G61" s="76"/>
      <c r="H61" s="128"/>
    </row>
    <row r="62" spans="1:18">
      <c r="A62" s="19"/>
      <c r="B62" s="71"/>
      <c r="C62" s="72"/>
      <c r="D62" s="71"/>
      <c r="E62" s="74"/>
      <c r="F62" s="102" t="s">
        <v>151</v>
      </c>
      <c r="G62" s="102">
        <f>SUM(G47:G60)</f>
        <v>37936.51727199999</v>
      </c>
      <c r="H62" s="126"/>
      <c r="N62">
        <f>12*0.1*0.4*0.4</f>
        <v>0.19200000000000006</v>
      </c>
      <c r="O62">
        <f>N62*1100</f>
        <v>211.20000000000007</v>
      </c>
    </row>
    <row r="63" spans="1:18" s="59" customFormat="1">
      <c r="A63" s="19"/>
      <c r="B63" s="83"/>
      <c r="C63" s="84"/>
      <c r="D63" s="83"/>
      <c r="E63" s="86"/>
      <c r="F63" s="114"/>
      <c r="G63" s="114"/>
      <c r="H63" s="126"/>
    </row>
    <row r="64" spans="1:18" ht="25.5">
      <c r="A64" s="115">
        <v>3</v>
      </c>
      <c r="B64" s="115"/>
      <c r="C64" s="123" t="s">
        <v>270</v>
      </c>
      <c r="D64" s="117" t="s">
        <v>10</v>
      </c>
      <c r="E64" s="118" t="s">
        <v>11</v>
      </c>
      <c r="F64" s="119" t="s">
        <v>12</v>
      </c>
      <c r="G64" s="119" t="s">
        <v>152</v>
      </c>
      <c r="H64" s="129"/>
      <c r="R64">
        <f>28.2*3*2</f>
        <v>169.2</v>
      </c>
    </row>
    <row r="65" spans="1:19" ht="24">
      <c r="A65" s="83" t="s">
        <v>27</v>
      </c>
      <c r="B65" s="65">
        <v>97647</v>
      </c>
      <c r="C65" s="66" t="s">
        <v>191</v>
      </c>
      <c r="D65" s="67" t="s">
        <v>25</v>
      </c>
      <c r="E65" s="68">
        <v>191.78</v>
      </c>
      <c r="F65" s="69">
        <v>2.06</v>
      </c>
      <c r="G65" s="69">
        <f t="shared" ref="G65:G76" si="3">E65*F65</f>
        <v>395.0668</v>
      </c>
      <c r="H65" s="128"/>
      <c r="I65" s="59" t="s">
        <v>197</v>
      </c>
      <c r="N65" s="59" t="s">
        <v>192</v>
      </c>
      <c r="O65">
        <f>2.44*1.1</f>
        <v>2.6840000000000002</v>
      </c>
    </row>
    <row r="66" spans="1:19" ht="25.5">
      <c r="A66" s="83" t="s">
        <v>28</v>
      </c>
      <c r="B66" s="70">
        <v>94207</v>
      </c>
      <c r="C66" s="66" t="s">
        <v>190</v>
      </c>
      <c r="D66" s="67" t="s">
        <v>25</v>
      </c>
      <c r="E66" s="68">
        <v>191.78</v>
      </c>
      <c r="F66" s="69">
        <v>30.55</v>
      </c>
      <c r="G66" s="69">
        <f t="shared" si="3"/>
        <v>5858.8789999999999</v>
      </c>
      <c r="H66" s="128"/>
      <c r="L66" s="59"/>
      <c r="P66" s="92" t="s">
        <v>249</v>
      </c>
      <c r="Q66" s="59" t="s">
        <v>251</v>
      </c>
    </row>
    <row r="67" spans="1:19" ht="36">
      <c r="A67" s="83" t="s">
        <v>49</v>
      </c>
      <c r="B67" s="71">
        <v>97625</v>
      </c>
      <c r="C67" s="72" t="s">
        <v>193</v>
      </c>
      <c r="D67" s="73" t="s">
        <v>22</v>
      </c>
      <c r="E67" s="74">
        <f>P71</f>
        <v>60.84</v>
      </c>
      <c r="F67" s="75">
        <v>36.020000000000003</v>
      </c>
      <c r="G67" s="76">
        <f t="shared" si="3"/>
        <v>2191.4568000000004</v>
      </c>
      <c r="H67" s="128"/>
      <c r="K67" s="19" t="s">
        <v>200</v>
      </c>
      <c r="L67" s="19">
        <v>39.299999999999997</v>
      </c>
      <c r="M67" s="19" t="s">
        <v>195</v>
      </c>
      <c r="N67" s="19"/>
      <c r="O67" s="19">
        <v>2.5</v>
      </c>
      <c r="P67" s="19">
        <f>L67*O67*O70*2</f>
        <v>35.369999999999997</v>
      </c>
      <c r="Q67" s="19">
        <f>L67*2.44*2</f>
        <v>191.78399999999999</v>
      </c>
      <c r="S67" s="241" t="s">
        <v>450</v>
      </c>
    </row>
    <row r="68" spans="1:19" ht="22.5">
      <c r="A68" s="83" t="s">
        <v>50</v>
      </c>
      <c r="B68" s="78" t="s">
        <v>210</v>
      </c>
      <c r="C68" s="79" t="s">
        <v>271</v>
      </c>
      <c r="D68" s="80" t="s">
        <v>128</v>
      </c>
      <c r="E68" s="81">
        <v>117</v>
      </c>
      <c r="F68" s="82">
        <v>99.53</v>
      </c>
      <c r="G68" s="82">
        <f t="shared" si="3"/>
        <v>11645.01</v>
      </c>
      <c r="H68" s="124" t="s">
        <v>272</v>
      </c>
      <c r="I68" s="59" t="s">
        <v>266</v>
      </c>
      <c r="J68" s="59" t="s">
        <v>267</v>
      </c>
      <c r="K68" s="19" t="s">
        <v>201</v>
      </c>
      <c r="L68" s="19">
        <v>28.3</v>
      </c>
      <c r="M68" s="19" t="s">
        <v>194</v>
      </c>
      <c r="N68" s="19"/>
      <c r="O68" s="19">
        <v>2.5</v>
      </c>
      <c r="P68" s="19">
        <f>O70*L68*O68*2</f>
        <v>25.470000000000002</v>
      </c>
      <c r="Q68" s="19"/>
      <c r="S68">
        <f>(39.3/4+28.3/4)*2*0.2*0.2+(39.3+28.3)*2*0.2*0.2</f>
        <v>6.7600000000000007</v>
      </c>
    </row>
    <row r="69" spans="1:19" s="59" customFormat="1">
      <c r="A69" s="83" t="s">
        <v>51</v>
      </c>
      <c r="B69" s="78"/>
      <c r="C69" s="79" t="s">
        <v>273</v>
      </c>
      <c r="D69" s="80" t="s">
        <v>274</v>
      </c>
      <c r="E69" s="81" t="s">
        <v>274</v>
      </c>
      <c r="F69" s="82" t="s">
        <v>274</v>
      </c>
      <c r="G69" s="82" t="s">
        <v>274</v>
      </c>
      <c r="H69" s="128"/>
      <c r="K69" s="19"/>
      <c r="L69" s="19"/>
      <c r="M69" s="19"/>
      <c r="N69" s="19"/>
      <c r="O69" s="19"/>
      <c r="P69" s="19"/>
      <c r="Q69" s="19"/>
    </row>
    <row r="70" spans="1:19">
      <c r="A70" s="83" t="s">
        <v>29</v>
      </c>
      <c r="B70" s="71" t="s">
        <v>209</v>
      </c>
      <c r="C70" s="72" t="s">
        <v>202</v>
      </c>
      <c r="D70" s="73" t="s">
        <v>63</v>
      </c>
      <c r="E70" s="74">
        <v>1150.92</v>
      </c>
      <c r="F70" s="75">
        <f>Composições!L80</f>
        <v>6.011496779388084</v>
      </c>
      <c r="G70" s="76">
        <f t="shared" si="3"/>
        <v>6918.7518733333345</v>
      </c>
      <c r="H70" s="128"/>
      <c r="K70" s="19"/>
      <c r="L70" s="19"/>
      <c r="M70" s="19" t="s">
        <v>196</v>
      </c>
      <c r="N70" s="19"/>
      <c r="O70" s="19">
        <v>0.18</v>
      </c>
      <c r="P70" s="19"/>
      <c r="Q70" s="19"/>
    </row>
    <row r="71" spans="1:19">
      <c r="A71" s="83" t="s">
        <v>30</v>
      </c>
      <c r="B71" s="83" t="s">
        <v>213</v>
      </c>
      <c r="C71" s="84" t="s">
        <v>212</v>
      </c>
      <c r="D71" s="85" t="s">
        <v>63</v>
      </c>
      <c r="E71" s="86">
        <v>1206</v>
      </c>
      <c r="F71" s="87">
        <f>Composições!L86</f>
        <v>6.6455100000000007</v>
      </c>
      <c r="G71" s="87">
        <f t="shared" si="3"/>
        <v>8014.4850600000009</v>
      </c>
      <c r="H71" s="128"/>
      <c r="K71" s="19"/>
      <c r="L71" s="19"/>
      <c r="M71" s="19"/>
      <c r="N71" s="19"/>
      <c r="O71" s="19"/>
      <c r="P71" s="19">
        <f>SUM(P67:P70)</f>
        <v>60.84</v>
      </c>
      <c r="Q71" s="19">
        <f>SUM(Q67:Q70)</f>
        <v>191.78399999999999</v>
      </c>
    </row>
    <row r="72" spans="1:19">
      <c r="A72" s="83" t="s">
        <v>323</v>
      </c>
      <c r="B72" s="83" t="s">
        <v>221</v>
      </c>
      <c r="C72" s="84" t="s">
        <v>214</v>
      </c>
      <c r="D72" s="85" t="s">
        <v>63</v>
      </c>
      <c r="E72" s="86">
        <v>173.4</v>
      </c>
      <c r="F72" s="87">
        <f>Composições!L93</f>
        <v>6.6915000000000004</v>
      </c>
      <c r="G72" s="87">
        <f t="shared" si="3"/>
        <v>1160.3061</v>
      </c>
      <c r="H72" s="128"/>
      <c r="I72" s="59" t="s">
        <v>215</v>
      </c>
    </row>
    <row r="73" spans="1:19">
      <c r="A73" s="83" t="s">
        <v>324</v>
      </c>
      <c r="B73" s="71" t="s">
        <v>224</v>
      </c>
      <c r="C73" s="72" t="s">
        <v>225</v>
      </c>
      <c r="D73" s="73" t="s">
        <v>63</v>
      </c>
      <c r="E73" s="74">
        <v>74.8</v>
      </c>
      <c r="F73" s="75">
        <f>Composições!L100</f>
        <v>6.4184999999999999</v>
      </c>
      <c r="G73" s="76">
        <f t="shared" si="3"/>
        <v>480.10379999999998</v>
      </c>
      <c r="H73" s="125"/>
    </row>
    <row r="74" spans="1:19" ht="24">
      <c r="A74" s="83" t="s">
        <v>325</v>
      </c>
      <c r="B74" s="71">
        <v>11964</v>
      </c>
      <c r="C74" s="72" t="s">
        <v>226</v>
      </c>
      <c r="D74" s="73" t="s">
        <v>128</v>
      </c>
      <c r="E74" s="74">
        <v>140</v>
      </c>
      <c r="F74" s="75">
        <v>1.38</v>
      </c>
      <c r="G74" s="76">
        <f t="shared" si="3"/>
        <v>193.2</v>
      </c>
      <c r="H74" s="125"/>
      <c r="O74" s="19" t="s">
        <v>198</v>
      </c>
      <c r="P74" s="19">
        <f>O67*L67*2</f>
        <v>196.5</v>
      </c>
    </row>
    <row r="75" spans="1:19" ht="24">
      <c r="A75" s="83" t="s">
        <v>326</v>
      </c>
      <c r="B75" s="71">
        <v>83736</v>
      </c>
      <c r="C75" s="72" t="s">
        <v>139</v>
      </c>
      <c r="D75" s="73" t="s">
        <v>25</v>
      </c>
      <c r="E75" s="74">
        <v>5</v>
      </c>
      <c r="F75" s="75">
        <v>163.30000000000001</v>
      </c>
      <c r="G75" s="76">
        <f t="shared" si="3"/>
        <v>816.5</v>
      </c>
      <c r="H75" s="125"/>
      <c r="O75" s="19" t="s">
        <v>199</v>
      </c>
      <c r="P75" s="19">
        <f>L68*O68*2</f>
        <v>141.5</v>
      </c>
    </row>
    <row r="76" spans="1:19">
      <c r="A76" s="83" t="s">
        <v>327</v>
      </c>
      <c r="B76" s="71" t="s">
        <v>231</v>
      </c>
      <c r="C76" s="72" t="s">
        <v>229</v>
      </c>
      <c r="D76" s="73" t="s">
        <v>230</v>
      </c>
      <c r="E76" s="74">
        <v>5</v>
      </c>
      <c r="F76" s="75">
        <v>27.05</v>
      </c>
      <c r="G76" s="76">
        <f t="shared" si="3"/>
        <v>135.25</v>
      </c>
      <c r="H76" s="125"/>
    </row>
    <row r="77" spans="1:19">
      <c r="A77" s="19"/>
      <c r="B77" s="19"/>
      <c r="C77" s="19"/>
      <c r="D77" s="19"/>
      <c r="E77" s="19"/>
      <c r="F77" s="19"/>
      <c r="G77" s="19"/>
      <c r="H77" s="130"/>
      <c r="L77">
        <f>0.3+1.75</f>
        <v>2.0499999999999998</v>
      </c>
      <c r="P77">
        <f>SUM(P74:P76)</f>
        <v>338</v>
      </c>
      <c r="Q77" s="5">
        <f>P77*58.47</f>
        <v>19762.86</v>
      </c>
    </row>
    <row r="78" spans="1:19">
      <c r="A78" s="19"/>
      <c r="B78" s="19"/>
      <c r="C78" s="19"/>
      <c r="D78" s="19"/>
      <c r="E78" s="19"/>
      <c r="F78" s="102" t="s">
        <v>151</v>
      </c>
      <c r="G78" s="102">
        <f>SUM(G65:G77)</f>
        <v>37809.009433333333</v>
      </c>
      <c r="H78" s="126"/>
      <c r="L78">
        <f>3/16</f>
        <v>0.1875</v>
      </c>
    </row>
    <row r="79" spans="1:19" s="59" customFormat="1">
      <c r="A79" s="19"/>
      <c r="B79" s="19"/>
      <c r="C79" s="19"/>
      <c r="D79" s="19"/>
      <c r="E79" s="35"/>
      <c r="F79" s="114"/>
      <c r="G79" s="114"/>
      <c r="H79" s="126"/>
    </row>
    <row r="80" spans="1:19" ht="25.5">
      <c r="A80" s="137">
        <v>4</v>
      </c>
      <c r="B80" s="90"/>
      <c r="C80" s="123" t="s">
        <v>275</v>
      </c>
      <c r="D80" s="117" t="s">
        <v>10</v>
      </c>
      <c r="E80" s="118" t="s">
        <v>11</v>
      </c>
      <c r="F80" s="119" t="s">
        <v>12</v>
      </c>
      <c r="G80" s="119" t="s">
        <v>152</v>
      </c>
      <c r="H80" s="129"/>
      <c r="O80">
        <f>39.3/1.05</f>
        <v>37.428571428571423</v>
      </c>
    </row>
    <row r="81" spans="1:18">
      <c r="A81" s="93" t="s">
        <v>52</v>
      </c>
      <c r="B81" s="88" t="s">
        <v>48</v>
      </c>
      <c r="C81" s="89" t="s">
        <v>253</v>
      </c>
      <c r="D81" s="85" t="s">
        <v>26</v>
      </c>
      <c r="E81" s="74">
        <v>28.3</v>
      </c>
      <c r="F81" s="76">
        <v>98.87</v>
      </c>
      <c r="G81" s="76">
        <f t="shared" ref="G81:G90" si="4">E81*F81</f>
        <v>2798.0210000000002</v>
      </c>
      <c r="H81" s="125"/>
      <c r="I81">
        <f>1.4*6</f>
        <v>8.3999999999999986</v>
      </c>
      <c r="J81" s="59" t="s">
        <v>277</v>
      </c>
    </row>
    <row r="82" spans="1:18">
      <c r="A82" s="93" t="s">
        <v>53</v>
      </c>
      <c r="B82" s="110" t="s">
        <v>259</v>
      </c>
      <c r="C82" s="89" t="s">
        <v>252</v>
      </c>
      <c r="D82" s="85" t="s">
        <v>25</v>
      </c>
      <c r="E82" s="74">
        <f>28.3*1.7*2</f>
        <v>96.22</v>
      </c>
      <c r="F82" s="76">
        <v>44.99</v>
      </c>
      <c r="G82" s="76">
        <f t="shared" si="4"/>
        <v>4328.9377999999997</v>
      </c>
      <c r="H82" s="125"/>
    </row>
    <row r="83" spans="1:18">
      <c r="A83" s="93" t="s">
        <v>328</v>
      </c>
      <c r="B83" s="88">
        <v>94263</v>
      </c>
      <c r="C83" s="89" t="s">
        <v>254</v>
      </c>
      <c r="D83" s="85" t="s">
        <v>26</v>
      </c>
      <c r="E83" s="74">
        <f>28.3*2</f>
        <v>56.6</v>
      </c>
      <c r="F83" s="76">
        <v>20.04</v>
      </c>
      <c r="G83" s="76">
        <f t="shared" si="4"/>
        <v>1134.2639999999999</v>
      </c>
      <c r="H83" s="125"/>
      <c r="I83" s="30">
        <f>1.4*12</f>
        <v>16.799999999999997</v>
      </c>
    </row>
    <row r="84" spans="1:18" s="59" customFormat="1">
      <c r="A84" s="93" t="s">
        <v>329</v>
      </c>
      <c r="B84" s="19" t="s">
        <v>278</v>
      </c>
      <c r="C84" s="89" t="s">
        <v>276</v>
      </c>
      <c r="D84" s="85" t="s">
        <v>25</v>
      </c>
      <c r="E84" s="74">
        <v>1.5</v>
      </c>
      <c r="F84" s="76">
        <v>61.95</v>
      </c>
      <c r="G84" s="76">
        <f t="shared" si="4"/>
        <v>92.925000000000011</v>
      </c>
      <c r="H84" s="125"/>
      <c r="I84" s="59" t="s">
        <v>279</v>
      </c>
    </row>
    <row r="85" spans="1:18">
      <c r="A85" s="93" t="s">
        <v>330</v>
      </c>
      <c r="B85" s="88" t="s">
        <v>258</v>
      </c>
      <c r="C85" s="89" t="s">
        <v>257</v>
      </c>
      <c r="D85" s="85" t="s">
        <v>25</v>
      </c>
      <c r="E85" s="74">
        <f>1.7*28.3*2</f>
        <v>96.22</v>
      </c>
      <c r="F85" s="76">
        <v>15.9</v>
      </c>
      <c r="G85" s="76">
        <f t="shared" si="4"/>
        <v>1529.8979999999999</v>
      </c>
      <c r="H85" s="125"/>
      <c r="R85" s="241">
        <f>28.3/4</f>
        <v>7.0750000000000002</v>
      </c>
    </row>
    <row r="86" spans="1:18" ht="48">
      <c r="A86" s="93" t="s">
        <v>331</v>
      </c>
      <c r="B86" s="88" t="s">
        <v>260</v>
      </c>
      <c r="C86" s="91" t="s">
        <v>261</v>
      </c>
      <c r="D86" s="85" t="s">
        <v>25</v>
      </c>
      <c r="E86" s="74">
        <v>33.4</v>
      </c>
      <c r="F86" s="76">
        <v>14.38</v>
      </c>
      <c r="G86" s="76">
        <f t="shared" si="4"/>
        <v>480.29200000000003</v>
      </c>
      <c r="H86" s="125"/>
      <c r="I86" s="30">
        <f>I83*1.22</f>
        <v>20.495999999999995</v>
      </c>
    </row>
    <row r="87" spans="1:18" s="59" customFormat="1" ht="24">
      <c r="A87" s="93" t="s">
        <v>332</v>
      </c>
      <c r="B87" s="88">
        <v>88423</v>
      </c>
      <c r="C87" s="91" t="s">
        <v>285</v>
      </c>
      <c r="D87" s="85" t="s">
        <v>25</v>
      </c>
      <c r="E87" s="74">
        <v>814.5</v>
      </c>
      <c r="F87" s="76">
        <v>13.36</v>
      </c>
      <c r="G87" s="76">
        <f t="shared" si="4"/>
        <v>10881.72</v>
      </c>
      <c r="H87" s="125"/>
      <c r="I87" s="5">
        <f>39.3*3*2+28.2*3*2+(0.5*3*4*12)+2.5*28.2*2+39.3*2.5*2</f>
        <v>814.5</v>
      </c>
    </row>
    <row r="88" spans="1:18" ht="36">
      <c r="A88" s="93" t="s">
        <v>333</v>
      </c>
      <c r="B88" s="88">
        <v>88423</v>
      </c>
      <c r="C88" s="89" t="s">
        <v>283</v>
      </c>
      <c r="D88" s="85" t="s">
        <v>25</v>
      </c>
      <c r="E88" s="74">
        <v>301.02</v>
      </c>
      <c r="F88" s="76">
        <v>13.36</v>
      </c>
      <c r="G88" s="76">
        <f t="shared" si="4"/>
        <v>4021.6271999999994</v>
      </c>
      <c r="H88" s="125"/>
      <c r="J88" s="19"/>
      <c r="K88" s="19" t="s">
        <v>262</v>
      </c>
      <c r="L88" s="19" t="s">
        <v>263</v>
      </c>
      <c r="M88" s="19" t="s">
        <v>263</v>
      </c>
      <c r="N88" s="94" t="s">
        <v>263</v>
      </c>
      <c r="O88" s="19" t="s">
        <v>265</v>
      </c>
    </row>
    <row r="89" spans="1:18" s="59" customFormat="1" ht="24">
      <c r="A89" s="223"/>
      <c r="B89" s="88">
        <v>85178</v>
      </c>
      <c r="C89" s="89" t="s">
        <v>413</v>
      </c>
      <c r="D89" s="85" t="s">
        <v>128</v>
      </c>
      <c r="E89" s="74">
        <v>6</v>
      </c>
      <c r="F89" s="76">
        <v>56.53</v>
      </c>
      <c r="G89" s="76">
        <f t="shared" si="4"/>
        <v>339.18</v>
      </c>
      <c r="H89" s="125"/>
      <c r="J89" s="19"/>
      <c r="K89" s="19"/>
      <c r="L89" s="19"/>
      <c r="M89" s="19"/>
      <c r="N89" s="94"/>
      <c r="O89" s="19"/>
    </row>
    <row r="90" spans="1:18" s="59" customFormat="1" ht="24">
      <c r="A90" s="223"/>
      <c r="B90" s="224" t="s">
        <v>55</v>
      </c>
      <c r="C90" s="89" t="s">
        <v>414</v>
      </c>
      <c r="D90" s="85" t="s">
        <v>25</v>
      </c>
      <c r="E90" s="74">
        <v>195</v>
      </c>
      <c r="F90" s="76">
        <v>10.67</v>
      </c>
      <c r="G90" s="76">
        <f t="shared" si="4"/>
        <v>2080.65</v>
      </c>
      <c r="H90" s="125"/>
      <c r="J90" s="19"/>
      <c r="K90" s="19"/>
      <c r="L90" s="19"/>
      <c r="M90" s="19"/>
      <c r="N90" s="94"/>
      <c r="O90" s="19"/>
    </row>
    <row r="91" spans="1:18" ht="24">
      <c r="A91" s="93" t="s">
        <v>334</v>
      </c>
      <c r="B91" s="71">
        <v>9537</v>
      </c>
      <c r="C91" s="103" t="s">
        <v>35</v>
      </c>
      <c r="D91" s="73" t="s">
        <v>25</v>
      </c>
      <c r="E91" s="74">
        <v>980</v>
      </c>
      <c r="F91" s="75">
        <v>2.11</v>
      </c>
      <c r="G91" s="76">
        <f>F91*E91</f>
        <v>2067.7999999999997</v>
      </c>
      <c r="H91" s="128"/>
      <c r="I91" s="59"/>
      <c r="J91" s="95" t="s">
        <v>264</v>
      </c>
      <c r="K91" s="19">
        <f>0.2*3.16*4*12</f>
        <v>30.336000000000006</v>
      </c>
      <c r="L91" s="19">
        <f>0.4*0.4*12</f>
        <v>1.9200000000000004</v>
      </c>
      <c r="M91" s="19">
        <f>0.4*0.2*12</f>
        <v>0.96000000000000019</v>
      </c>
      <c r="N91" s="19">
        <f>(((0.0127*0.4)*2+(0.0127*0.2*2))*12)</f>
        <v>0.18287999999999999</v>
      </c>
      <c r="O91" s="96">
        <f>N91+M91+L91+K91</f>
        <v>33.398880000000005</v>
      </c>
    </row>
    <row r="92" spans="1:18">
      <c r="A92" s="93"/>
      <c r="B92" s="19"/>
      <c r="C92" s="19"/>
      <c r="D92" s="19"/>
      <c r="E92" s="19"/>
      <c r="F92" s="19"/>
      <c r="G92" s="19"/>
      <c r="H92" s="14"/>
      <c r="N92" s="59"/>
      <c r="O92" s="59"/>
    </row>
    <row r="93" spans="1:18" ht="30">
      <c r="A93" s="19"/>
      <c r="B93" s="19"/>
      <c r="C93" s="19"/>
      <c r="D93" s="19"/>
      <c r="E93" s="19"/>
      <c r="F93" s="19"/>
      <c r="G93" s="19"/>
      <c r="H93" s="130"/>
      <c r="J93" s="95" t="s">
        <v>284</v>
      </c>
      <c r="K93" s="19">
        <f>2.55*28.2*2</f>
        <v>143.82</v>
      </c>
      <c r="L93" s="19">
        <f>39.3*2*2</f>
        <v>157.19999999999999</v>
      </c>
      <c r="M93" s="19">
        <f>K93+L93</f>
        <v>301.02</v>
      </c>
    </row>
    <row r="94" spans="1:18">
      <c r="A94" s="19"/>
      <c r="B94" s="19"/>
      <c r="C94" s="19"/>
      <c r="D94" s="19"/>
      <c r="E94" s="19"/>
      <c r="F94" s="19"/>
      <c r="G94" s="19"/>
      <c r="H94" s="130"/>
    </row>
    <row r="95" spans="1:18">
      <c r="A95" s="19"/>
      <c r="B95" s="19"/>
      <c r="C95" s="19"/>
      <c r="D95" s="19"/>
      <c r="E95" s="19"/>
      <c r="F95" s="102" t="s">
        <v>151</v>
      </c>
      <c r="G95" s="102">
        <f>SUM(G81:G91)</f>
        <v>29755.314999999995</v>
      </c>
      <c r="H95" s="126"/>
    </row>
    <row r="96" spans="1:18">
      <c r="A96" s="19"/>
      <c r="B96" s="19"/>
      <c r="C96" s="19"/>
      <c r="D96" s="19"/>
      <c r="E96" s="19"/>
      <c r="F96" s="19"/>
      <c r="G96" s="19"/>
      <c r="H96" s="130"/>
    </row>
    <row r="97" spans="1:9">
      <c r="A97" s="19"/>
      <c r="B97" s="19"/>
      <c r="C97" s="19"/>
      <c r="D97" s="19"/>
      <c r="E97" s="19"/>
      <c r="F97" s="19"/>
      <c r="G97" s="19"/>
      <c r="H97" s="14"/>
    </row>
    <row r="99" spans="1:9">
      <c r="I99" s="30">
        <f>G95+G78+G62+G44+G26</f>
        <v>169850.60870533332</v>
      </c>
    </row>
    <row r="100" spans="1:9">
      <c r="I100" s="30">
        <f>I99*1.2049</f>
        <v>204652.99842905614</v>
      </c>
    </row>
  </sheetData>
  <mergeCells count="12">
    <mergeCell ref="J22:P23"/>
    <mergeCell ref="C4:D5"/>
    <mergeCell ref="A1:B1"/>
    <mergeCell ref="C1:F1"/>
    <mergeCell ref="G1:G3"/>
    <mergeCell ref="A2:B2"/>
    <mergeCell ref="C2:F2"/>
    <mergeCell ref="A3:B3"/>
    <mergeCell ref="C3:F3"/>
    <mergeCell ref="E4:G4"/>
    <mergeCell ref="E5:G5"/>
    <mergeCell ref="A4:B5"/>
  </mergeCells>
  <pageMargins left="0.511811024" right="0.511811024" top="0.78740157499999996" bottom="0.78740157499999996" header="0.31496062000000002" footer="0.31496062000000002"/>
  <pageSetup orientation="portrait" horizont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9"/>
  <sheetViews>
    <sheetView topLeftCell="A70" zoomScale="90" zoomScaleNormal="90" workbookViewId="0">
      <selection activeCell="G57" sqref="G57"/>
    </sheetView>
  </sheetViews>
  <sheetFormatPr defaultRowHeight="15"/>
  <cols>
    <col min="1" max="1" width="4.5703125" style="357" bestFit="1" customWidth="1"/>
    <col min="2" max="2" width="16.140625" style="357" bestFit="1" customWidth="1"/>
    <col min="3" max="3" width="57.42578125" style="357" bestFit="1" customWidth="1"/>
    <col min="4" max="4" width="8.7109375" style="357" bestFit="1" customWidth="1"/>
    <col min="5" max="5" width="9.42578125" style="357" customWidth="1"/>
    <col min="6" max="6" width="12.28515625" style="357" bestFit="1" customWidth="1"/>
    <col min="7" max="7" width="18.28515625" style="357" bestFit="1" customWidth="1"/>
    <col min="8" max="8" width="9.140625" style="357"/>
    <col min="9" max="9" width="9.28515625" style="357" bestFit="1" customWidth="1"/>
    <col min="10" max="10" width="13.85546875" style="357" bestFit="1" customWidth="1"/>
    <col min="11" max="11" width="7" style="357" bestFit="1" customWidth="1"/>
    <col min="12" max="12" width="13.85546875" style="357" bestFit="1" customWidth="1"/>
    <col min="13" max="13" width="7" style="357" bestFit="1" customWidth="1"/>
    <col min="14" max="14" width="14.5703125" style="357" bestFit="1" customWidth="1"/>
    <col min="15" max="15" width="7" style="357" bestFit="1" customWidth="1"/>
    <col min="16" max="16" width="13.85546875" style="357" bestFit="1" customWidth="1"/>
    <col min="17" max="17" width="9.28515625" style="357" bestFit="1" customWidth="1"/>
    <col min="18" max="18" width="13.85546875" style="357" bestFit="1" customWidth="1"/>
    <col min="19" max="19" width="7" style="357" bestFit="1" customWidth="1"/>
    <col min="20" max="20" width="13.85546875" style="357" bestFit="1" customWidth="1"/>
    <col min="21" max="21" width="7" style="357" bestFit="1" customWidth="1"/>
    <col min="22" max="22" width="13.85546875" style="357" bestFit="1" customWidth="1"/>
    <col min="23" max="23" width="7" style="357" bestFit="1" customWidth="1"/>
    <col min="24" max="24" width="14.5703125" style="357" bestFit="1" customWidth="1"/>
    <col min="25" max="25" width="9.28515625" style="357" bestFit="1" customWidth="1"/>
    <col min="26" max="26" width="13.85546875" style="357" bestFit="1" customWidth="1"/>
    <col min="27" max="27" width="7" style="357" bestFit="1" customWidth="1"/>
    <col min="28" max="28" width="13.85546875" style="357" bestFit="1" customWidth="1"/>
    <col min="29" max="29" width="4" style="357" bestFit="1" customWidth="1"/>
    <col min="30" max="30" width="15.42578125" style="357" customWidth="1"/>
    <col min="31" max="32" width="9.140625" style="357"/>
    <col min="33" max="33" width="15.7109375" style="357" customWidth="1"/>
    <col min="34" max="34" width="19.140625" style="357" customWidth="1"/>
    <col min="35" max="16384" width="9.140625" style="357"/>
  </cols>
  <sheetData>
    <row r="1" spans="1:34" ht="15.75">
      <c r="A1" s="591" t="s">
        <v>0</v>
      </c>
      <c r="B1" s="592"/>
      <c r="C1" s="593" t="s">
        <v>1</v>
      </c>
      <c r="D1" s="593"/>
      <c r="E1" s="593"/>
      <c r="F1" s="593"/>
      <c r="G1" s="594"/>
      <c r="I1" s="613" t="s">
        <v>480</v>
      </c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5"/>
    </row>
    <row r="2" spans="1:34" ht="16.5" thickBot="1">
      <c r="A2" s="603" t="s">
        <v>2</v>
      </c>
      <c r="B2" s="604"/>
      <c r="C2" s="605" t="s">
        <v>335</v>
      </c>
      <c r="D2" s="605"/>
      <c r="E2" s="605"/>
      <c r="F2" s="605"/>
      <c r="G2" s="595"/>
      <c r="I2" s="616" t="s">
        <v>335</v>
      </c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8"/>
    </row>
    <row r="3" spans="1:34" ht="15.75" thickBot="1">
      <c r="A3" s="606" t="s">
        <v>3</v>
      </c>
      <c r="B3" s="607"/>
      <c r="C3" s="608" t="s">
        <v>4</v>
      </c>
      <c r="D3" s="608"/>
      <c r="E3" s="608"/>
      <c r="F3" s="608"/>
      <c r="G3" s="596"/>
      <c r="I3" s="619" t="s">
        <v>527</v>
      </c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329"/>
      <c r="AD3" s="329"/>
      <c r="AE3" s="329"/>
      <c r="AF3" s="329"/>
      <c r="AG3" s="621" t="s">
        <v>481</v>
      </c>
      <c r="AH3" s="622"/>
    </row>
    <row r="4" spans="1:34">
      <c r="A4" s="597" t="s">
        <v>5</v>
      </c>
      <c r="B4" s="598"/>
      <c r="C4" s="601" t="s">
        <v>6</v>
      </c>
      <c r="D4" s="601"/>
      <c r="E4" s="602" t="s">
        <v>435</v>
      </c>
      <c r="F4" s="602"/>
      <c r="G4" s="623"/>
      <c r="I4" s="624" t="s">
        <v>482</v>
      </c>
      <c r="J4" s="625"/>
      <c r="K4" s="625"/>
      <c r="L4" s="625"/>
      <c r="M4" s="625"/>
      <c r="N4" s="625"/>
      <c r="O4" s="625"/>
      <c r="P4" s="626"/>
      <c r="Q4" s="624" t="s">
        <v>483</v>
      </c>
      <c r="R4" s="625"/>
      <c r="S4" s="625"/>
      <c r="T4" s="625"/>
      <c r="U4" s="625"/>
      <c r="V4" s="625"/>
      <c r="W4" s="625"/>
      <c r="X4" s="626"/>
      <c r="Y4" s="624" t="s">
        <v>484</v>
      </c>
      <c r="Z4" s="625"/>
      <c r="AA4" s="625"/>
      <c r="AB4" s="625"/>
      <c r="AC4" s="330"/>
      <c r="AD4" s="330"/>
      <c r="AE4" s="330"/>
      <c r="AF4" s="330"/>
      <c r="AG4" s="627"/>
      <c r="AH4" s="628"/>
    </row>
    <row r="5" spans="1:34">
      <c r="A5" s="599"/>
      <c r="B5" s="600"/>
      <c r="C5" s="601"/>
      <c r="D5" s="601"/>
      <c r="E5" s="602" t="s">
        <v>337</v>
      </c>
      <c r="F5" s="602"/>
      <c r="G5" s="623"/>
      <c r="I5" s="631" t="s">
        <v>485</v>
      </c>
      <c r="J5" s="632"/>
      <c r="K5" s="633" t="s">
        <v>486</v>
      </c>
      <c r="L5" s="632"/>
      <c r="M5" s="633" t="s">
        <v>487</v>
      </c>
      <c r="N5" s="632"/>
      <c r="O5" s="633" t="s">
        <v>488</v>
      </c>
      <c r="P5" s="634"/>
      <c r="Q5" s="631" t="s">
        <v>489</v>
      </c>
      <c r="R5" s="632"/>
      <c r="S5" s="633" t="s">
        <v>490</v>
      </c>
      <c r="T5" s="632"/>
      <c r="U5" s="633" t="s">
        <v>491</v>
      </c>
      <c r="V5" s="632"/>
      <c r="W5" s="633" t="s">
        <v>492</v>
      </c>
      <c r="X5" s="634"/>
      <c r="Y5" s="631" t="s">
        <v>493</v>
      </c>
      <c r="Z5" s="632"/>
      <c r="AA5" s="633" t="s">
        <v>494</v>
      </c>
      <c r="AB5" s="632"/>
      <c r="AC5" s="331"/>
      <c r="AD5" s="331"/>
      <c r="AE5" s="331"/>
      <c r="AF5" s="331"/>
      <c r="AG5" s="629"/>
      <c r="AH5" s="630"/>
    </row>
    <row r="6" spans="1:34" ht="33" customHeight="1" thickBot="1">
      <c r="A6" s="216" t="s">
        <v>7</v>
      </c>
      <c r="B6" s="215" t="s">
        <v>8</v>
      </c>
      <c r="C6" s="214" t="s">
        <v>9</v>
      </c>
      <c r="D6" s="213" t="s">
        <v>10</v>
      </c>
      <c r="E6" s="212" t="s">
        <v>11</v>
      </c>
      <c r="F6" s="211" t="s">
        <v>12</v>
      </c>
      <c r="G6" s="210" t="s">
        <v>13</v>
      </c>
      <c r="I6" s="267" t="s">
        <v>495</v>
      </c>
      <c r="J6" s="268" t="s">
        <v>496</v>
      </c>
      <c r="K6" s="269" t="s">
        <v>495</v>
      </c>
      <c r="L6" s="270" t="s">
        <v>496</v>
      </c>
      <c r="M6" s="271" t="s">
        <v>495</v>
      </c>
      <c r="N6" s="268" t="s">
        <v>496</v>
      </c>
      <c r="O6" s="269" t="s">
        <v>495</v>
      </c>
      <c r="P6" s="272" t="s">
        <v>496</v>
      </c>
      <c r="Q6" s="267" t="s">
        <v>495</v>
      </c>
      <c r="R6" s="268" t="s">
        <v>496</v>
      </c>
      <c r="S6" s="269" t="s">
        <v>495</v>
      </c>
      <c r="T6" s="270" t="s">
        <v>496</v>
      </c>
      <c r="U6" s="271" t="s">
        <v>495</v>
      </c>
      <c r="V6" s="268" t="s">
        <v>496</v>
      </c>
      <c r="W6" s="269" t="s">
        <v>495</v>
      </c>
      <c r="X6" s="272" t="s">
        <v>496</v>
      </c>
      <c r="Y6" s="267" t="s">
        <v>495</v>
      </c>
      <c r="Z6" s="268" t="s">
        <v>496</v>
      </c>
      <c r="AA6" s="269" t="s">
        <v>495</v>
      </c>
      <c r="AB6" s="270" t="s">
        <v>496</v>
      </c>
      <c r="AC6" s="332"/>
      <c r="AD6" s="332"/>
      <c r="AE6" s="332"/>
      <c r="AF6" s="332"/>
      <c r="AG6" s="267" t="s">
        <v>495</v>
      </c>
      <c r="AH6" s="272" t="s">
        <v>496</v>
      </c>
    </row>
    <row r="7" spans="1:34" ht="15.75" thickBot="1">
      <c r="A7" s="455">
        <v>1</v>
      </c>
      <c r="B7" s="90"/>
      <c r="C7" s="220" t="s">
        <v>243</v>
      </c>
      <c r="D7" s="219"/>
      <c r="E7" s="218"/>
      <c r="F7" s="217"/>
      <c r="G7" s="456"/>
      <c r="I7" s="635" t="s">
        <v>243</v>
      </c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7"/>
      <c r="AG7" s="274"/>
      <c r="AH7" s="275"/>
    </row>
    <row r="8" spans="1:34" ht="24">
      <c r="A8" s="457" t="s">
        <v>15</v>
      </c>
      <c r="B8" s="339" t="s">
        <v>40</v>
      </c>
      <c r="C8" s="340" t="s">
        <v>519</v>
      </c>
      <c r="D8" s="85" t="s">
        <v>128</v>
      </c>
      <c r="E8" s="86">
        <f>ORÇAMENTO!E8</f>
        <v>1</v>
      </c>
      <c r="F8" s="87">
        <f>ORÇAMENTO!F8</f>
        <v>218.54</v>
      </c>
      <c r="G8" s="458">
        <f t="shared" ref="G8:G23" si="0">E8*F8</f>
        <v>218.54</v>
      </c>
      <c r="I8" s="358">
        <v>1</v>
      </c>
      <c r="J8" s="359">
        <f>I8*$G8</f>
        <v>218.54</v>
      </c>
      <c r="K8" s="360"/>
      <c r="L8" s="361"/>
      <c r="M8" s="360"/>
      <c r="N8" s="361"/>
      <c r="O8" s="360"/>
      <c r="P8" s="361"/>
      <c r="Q8" s="360"/>
      <c r="R8" s="361"/>
      <c r="S8" s="360"/>
      <c r="T8" s="361"/>
      <c r="U8" s="360"/>
      <c r="V8" s="361"/>
      <c r="W8" s="360"/>
      <c r="X8" s="361"/>
      <c r="Y8" s="360"/>
      <c r="Z8" s="361"/>
      <c r="AA8" s="360"/>
      <c r="AB8" s="361"/>
      <c r="AC8" s="362"/>
      <c r="AD8" s="362"/>
      <c r="AE8" s="362"/>
      <c r="AF8" s="362"/>
      <c r="AG8" s="306">
        <f>I8+K8+M8+O8+Q8+S8+U8+W8+Y8+AA8</f>
        <v>1</v>
      </c>
      <c r="AH8" s="363">
        <f>J8+L8+N8+P8+R8+T8+V8+X8+Z8+AB8</f>
        <v>218.54</v>
      </c>
    </row>
    <row r="9" spans="1:34" ht="24.75" customHeight="1">
      <c r="A9" s="457" t="s">
        <v>18</v>
      </c>
      <c r="B9" s="341" t="s">
        <v>241</v>
      </c>
      <c r="C9" s="342" t="s">
        <v>240</v>
      </c>
      <c r="D9" s="85" t="s">
        <v>25</v>
      </c>
      <c r="E9" s="86">
        <f>ORÇAMENTO!E9</f>
        <v>912.94</v>
      </c>
      <c r="F9" s="87">
        <f>ORÇAMENTO!F9</f>
        <v>0.66</v>
      </c>
      <c r="G9" s="458">
        <f t="shared" si="0"/>
        <v>602.54040000000009</v>
      </c>
      <c r="I9" s="364"/>
      <c r="J9" s="365"/>
      <c r="K9" s="366"/>
      <c r="L9" s="367"/>
      <c r="M9" s="366"/>
      <c r="N9" s="367"/>
      <c r="O9" s="366"/>
      <c r="P9" s="367"/>
      <c r="Q9" s="366"/>
      <c r="R9" s="367"/>
      <c r="S9" s="366"/>
      <c r="T9" s="367"/>
      <c r="U9" s="366"/>
      <c r="V9" s="367"/>
      <c r="W9" s="366"/>
      <c r="X9" s="367"/>
      <c r="Y9" s="366"/>
      <c r="Z9" s="367"/>
      <c r="AA9" s="368">
        <v>1</v>
      </c>
      <c r="AB9" s="369">
        <f>AA9*G9</f>
        <v>602.54040000000009</v>
      </c>
      <c r="AC9" s="365"/>
      <c r="AD9" s="365"/>
      <c r="AE9" s="365"/>
      <c r="AF9" s="365"/>
      <c r="AG9" s="281">
        <f t="shared" ref="AG9:AH23" si="1">I9+K9+M9+O9+Q9+S9+U9+W9+Y9+AA9</f>
        <v>1</v>
      </c>
      <c r="AH9" s="370">
        <f t="shared" si="1"/>
        <v>602.54040000000009</v>
      </c>
    </row>
    <row r="10" spans="1:34" ht="24">
      <c r="A10" s="457" t="s">
        <v>21</v>
      </c>
      <c r="B10" s="341" t="s">
        <v>42</v>
      </c>
      <c r="C10" s="343" t="s">
        <v>420</v>
      </c>
      <c r="D10" s="85" t="s">
        <v>25</v>
      </c>
      <c r="E10" s="86">
        <f>ORÇAMENTO!E10</f>
        <v>3</v>
      </c>
      <c r="F10" s="87">
        <f>ORÇAMENTO!F10</f>
        <v>348.01</v>
      </c>
      <c r="G10" s="458">
        <f t="shared" si="0"/>
        <v>1044.03</v>
      </c>
      <c r="I10" s="371">
        <v>1</v>
      </c>
      <c r="J10" s="372">
        <f t="shared" ref="J10:J11" si="2">I10*$G10</f>
        <v>1044.03</v>
      </c>
      <c r="K10" s="366"/>
      <c r="L10" s="367"/>
      <c r="M10" s="366"/>
      <c r="N10" s="367"/>
      <c r="O10" s="366"/>
      <c r="P10" s="367"/>
      <c r="Q10" s="366"/>
      <c r="R10" s="367"/>
      <c r="S10" s="366"/>
      <c r="T10" s="367"/>
      <c r="U10" s="366"/>
      <c r="V10" s="367"/>
      <c r="W10" s="366"/>
      <c r="X10" s="367"/>
      <c r="Y10" s="366"/>
      <c r="Z10" s="367"/>
      <c r="AA10" s="366"/>
      <c r="AB10" s="367"/>
      <c r="AC10" s="365"/>
      <c r="AD10" s="365"/>
      <c r="AE10" s="365"/>
      <c r="AF10" s="365"/>
      <c r="AG10" s="276">
        <f t="shared" si="1"/>
        <v>1</v>
      </c>
      <c r="AH10" s="374">
        <f t="shared" si="1"/>
        <v>1044.03</v>
      </c>
    </row>
    <row r="11" spans="1:34" ht="36">
      <c r="A11" s="457" t="s">
        <v>338</v>
      </c>
      <c r="B11" s="341" t="s">
        <v>42</v>
      </c>
      <c r="C11" s="343" t="s">
        <v>423</v>
      </c>
      <c r="D11" s="85" t="s">
        <v>25</v>
      </c>
      <c r="E11" s="86">
        <f>ORÇAMENTO!E11</f>
        <v>6</v>
      </c>
      <c r="F11" s="87">
        <f>ORÇAMENTO!F11</f>
        <v>348.01</v>
      </c>
      <c r="G11" s="458">
        <f t="shared" si="0"/>
        <v>2088.06</v>
      </c>
      <c r="I11" s="375">
        <v>1</v>
      </c>
      <c r="J11" s="369">
        <f t="shared" si="2"/>
        <v>2088.06</v>
      </c>
      <c r="K11" s="366"/>
      <c r="L11" s="367"/>
      <c r="M11" s="366"/>
      <c r="N11" s="367"/>
      <c r="O11" s="366"/>
      <c r="P11" s="367"/>
      <c r="Q11" s="366"/>
      <c r="R11" s="367"/>
      <c r="S11" s="366"/>
      <c r="T11" s="367"/>
      <c r="U11" s="366"/>
      <c r="V11" s="367"/>
      <c r="W11" s="366"/>
      <c r="X11" s="367"/>
      <c r="Y11" s="366"/>
      <c r="Z11" s="367"/>
      <c r="AA11" s="366"/>
      <c r="AB11" s="367"/>
      <c r="AC11" s="365"/>
      <c r="AD11" s="365"/>
      <c r="AE11" s="365"/>
      <c r="AF11" s="365"/>
      <c r="AG11" s="281">
        <f t="shared" si="1"/>
        <v>1</v>
      </c>
      <c r="AH11" s="370">
        <f t="shared" si="1"/>
        <v>2088.06</v>
      </c>
    </row>
    <row r="12" spans="1:34" ht="60">
      <c r="A12" s="457" t="s">
        <v>339</v>
      </c>
      <c r="B12" s="341" t="s">
        <v>246</v>
      </c>
      <c r="C12" s="343" t="s">
        <v>436</v>
      </c>
      <c r="D12" s="344" t="s">
        <v>19</v>
      </c>
      <c r="E12" s="86">
        <f>ORÇAMENTO!E12</f>
        <v>3</v>
      </c>
      <c r="F12" s="87">
        <f>ORÇAMENTO!F12</f>
        <v>527.86329999999998</v>
      </c>
      <c r="G12" s="458">
        <f t="shared" si="0"/>
        <v>1583.5898999999999</v>
      </c>
      <c r="I12" s="371">
        <f>1/10</f>
        <v>0.1</v>
      </c>
      <c r="J12" s="372">
        <f>G12*$I12</f>
        <v>158.35899000000001</v>
      </c>
      <c r="K12" s="373">
        <v>0.1</v>
      </c>
      <c r="L12" s="372">
        <f>G12*K12</f>
        <v>158.35899000000001</v>
      </c>
      <c r="M12" s="373">
        <v>0.1</v>
      </c>
      <c r="N12" s="372">
        <f>G12*K12</f>
        <v>158.35899000000001</v>
      </c>
      <c r="O12" s="373">
        <v>0.1</v>
      </c>
      <c r="P12" s="372">
        <f>O12*G12</f>
        <v>158.35899000000001</v>
      </c>
      <c r="Q12" s="373">
        <f>1/10</f>
        <v>0.1</v>
      </c>
      <c r="R12" s="372">
        <f>Q12*G12</f>
        <v>158.35899000000001</v>
      </c>
      <c r="S12" s="373">
        <v>0.1</v>
      </c>
      <c r="T12" s="372">
        <f>G12*S12</f>
        <v>158.35899000000001</v>
      </c>
      <c r="U12" s="373">
        <v>0.1</v>
      </c>
      <c r="V12" s="372">
        <f>U12*G12</f>
        <v>158.35899000000001</v>
      </c>
      <c r="W12" s="373">
        <v>0.1</v>
      </c>
      <c r="X12" s="372">
        <f>W12*G12</f>
        <v>158.35899000000001</v>
      </c>
      <c r="Y12" s="373">
        <v>0.1</v>
      </c>
      <c r="Z12" s="372">
        <f>G12*Y12</f>
        <v>158.35899000000001</v>
      </c>
      <c r="AA12" s="373">
        <v>0.1</v>
      </c>
      <c r="AB12" s="372">
        <f>AA12*G12</f>
        <v>158.35899000000001</v>
      </c>
      <c r="AC12" s="365"/>
      <c r="AD12" s="365"/>
      <c r="AE12" s="365"/>
      <c r="AF12" s="365"/>
      <c r="AG12" s="276">
        <f t="shared" si="1"/>
        <v>0.99999999999999989</v>
      </c>
      <c r="AH12" s="374">
        <f t="shared" si="1"/>
        <v>1583.5898999999997</v>
      </c>
    </row>
    <row r="13" spans="1:34" ht="48">
      <c r="A13" s="457" t="s">
        <v>340</v>
      </c>
      <c r="B13" s="341" t="s">
        <v>246</v>
      </c>
      <c r="C13" s="221" t="s">
        <v>437</v>
      </c>
      <c r="D13" s="344" t="s">
        <v>19</v>
      </c>
      <c r="E13" s="86">
        <f>ORÇAMENTO!E13</f>
        <v>3</v>
      </c>
      <c r="F13" s="87">
        <f>ORÇAMENTO!F13</f>
        <v>527.86329999999998</v>
      </c>
      <c r="G13" s="458">
        <f t="shared" si="0"/>
        <v>1583.5898999999999</v>
      </c>
      <c r="I13" s="375">
        <f>1/10</f>
        <v>0.1</v>
      </c>
      <c r="J13" s="369">
        <f>G13*$I13</f>
        <v>158.35899000000001</v>
      </c>
      <c r="K13" s="368">
        <v>0.1</v>
      </c>
      <c r="L13" s="369">
        <f>G13*K13</f>
        <v>158.35899000000001</v>
      </c>
      <c r="M13" s="368">
        <v>0.1</v>
      </c>
      <c r="N13" s="369">
        <f>G13*K13</f>
        <v>158.35899000000001</v>
      </c>
      <c r="O13" s="368">
        <v>0.1</v>
      </c>
      <c r="P13" s="369">
        <f>O13*G13</f>
        <v>158.35899000000001</v>
      </c>
      <c r="Q13" s="368">
        <f>1/10</f>
        <v>0.1</v>
      </c>
      <c r="R13" s="369">
        <f>Q13*G13</f>
        <v>158.35899000000001</v>
      </c>
      <c r="S13" s="368">
        <v>0.1</v>
      </c>
      <c r="T13" s="369">
        <f>G13*S13</f>
        <v>158.35899000000001</v>
      </c>
      <c r="U13" s="368">
        <v>0.1</v>
      </c>
      <c r="V13" s="369">
        <f>U13*G13</f>
        <v>158.35899000000001</v>
      </c>
      <c r="W13" s="368">
        <v>0.1</v>
      </c>
      <c r="X13" s="369">
        <f>W13*G13</f>
        <v>158.35899000000001</v>
      </c>
      <c r="Y13" s="368">
        <v>0.1</v>
      </c>
      <c r="Z13" s="369">
        <f>G13*Y13</f>
        <v>158.35899000000001</v>
      </c>
      <c r="AA13" s="368">
        <v>0.1</v>
      </c>
      <c r="AB13" s="369">
        <f>AA13*G13</f>
        <v>158.35899000000001</v>
      </c>
      <c r="AC13" s="365"/>
      <c r="AD13" s="365"/>
      <c r="AE13" s="365"/>
      <c r="AF13" s="365"/>
      <c r="AG13" s="281">
        <f t="shared" si="1"/>
        <v>0.99999999999999989</v>
      </c>
      <c r="AH13" s="370">
        <f t="shared" si="1"/>
        <v>1583.5898999999997</v>
      </c>
    </row>
    <row r="14" spans="1:34" ht="38.25" customHeight="1">
      <c r="A14" s="457" t="s">
        <v>341</v>
      </c>
      <c r="B14" s="83" t="s">
        <v>210</v>
      </c>
      <c r="C14" s="221" t="s">
        <v>525</v>
      </c>
      <c r="D14" s="345" t="s">
        <v>516</v>
      </c>
      <c r="E14" s="86">
        <f>ORÇAMENTO!E14</f>
        <v>318.39999999999998</v>
      </c>
      <c r="F14" s="87">
        <f>ORÇAMENTO!F14</f>
        <v>19.350000000000001</v>
      </c>
      <c r="G14" s="458">
        <f t="shared" si="0"/>
        <v>6161.04</v>
      </c>
      <c r="I14" s="371">
        <v>0.1</v>
      </c>
      <c r="J14" s="372">
        <f>G14*I14</f>
        <v>616.10400000000004</v>
      </c>
      <c r="K14" s="373">
        <v>0.1</v>
      </c>
      <c r="L14" s="372">
        <f>G14*K14</f>
        <v>616.10400000000004</v>
      </c>
      <c r="M14" s="373">
        <v>0.1</v>
      </c>
      <c r="N14" s="372">
        <f>G14*M14</f>
        <v>616.10400000000004</v>
      </c>
      <c r="O14" s="373">
        <v>0.1</v>
      </c>
      <c r="P14" s="372">
        <f>G14*O14</f>
        <v>616.10400000000004</v>
      </c>
      <c r="Q14" s="373">
        <v>0.1</v>
      </c>
      <c r="R14" s="372">
        <f>Q14*$G14</f>
        <v>616.10400000000004</v>
      </c>
      <c r="S14" s="373">
        <v>0.1</v>
      </c>
      <c r="T14" s="372">
        <f>S14*G14</f>
        <v>616.10400000000004</v>
      </c>
      <c r="U14" s="373">
        <v>0.1</v>
      </c>
      <c r="V14" s="372">
        <f>U14*G14</f>
        <v>616.10400000000004</v>
      </c>
      <c r="W14" s="373">
        <v>0.1</v>
      </c>
      <c r="X14" s="372">
        <f>G14*W14</f>
        <v>616.10400000000004</v>
      </c>
      <c r="Y14" s="373">
        <v>0.1</v>
      </c>
      <c r="Z14" s="372">
        <f>Y14*G14</f>
        <v>616.10400000000004</v>
      </c>
      <c r="AA14" s="373">
        <v>0.1</v>
      </c>
      <c r="AB14" s="372">
        <f>AA14*G14</f>
        <v>616.10400000000004</v>
      </c>
      <c r="AC14" s="365"/>
      <c r="AD14" s="365"/>
      <c r="AE14" s="365"/>
      <c r="AF14" s="365"/>
      <c r="AG14" s="276">
        <f t="shared" si="1"/>
        <v>0.99999999999999989</v>
      </c>
      <c r="AH14" s="374">
        <f t="shared" si="1"/>
        <v>6161.0400000000018</v>
      </c>
    </row>
    <row r="15" spans="1:34" ht="24">
      <c r="A15" s="457" t="s">
        <v>342</v>
      </c>
      <c r="B15" s="222">
        <v>97064</v>
      </c>
      <c r="C15" s="221" t="s">
        <v>255</v>
      </c>
      <c r="D15" s="85" t="s">
        <v>26</v>
      </c>
      <c r="E15" s="86">
        <f>ORÇAMENTO!E15</f>
        <v>177.4</v>
      </c>
      <c r="F15" s="87">
        <f>ORÇAMENTO!F15</f>
        <v>13.27</v>
      </c>
      <c r="G15" s="458">
        <f t="shared" si="0"/>
        <v>2354.098</v>
      </c>
      <c r="I15" s="375">
        <v>0.25</v>
      </c>
      <c r="J15" s="369">
        <f>I15*G15</f>
        <v>588.52449999999999</v>
      </c>
      <c r="K15" s="366"/>
      <c r="L15" s="367"/>
      <c r="M15" s="366"/>
      <c r="N15" s="367"/>
      <c r="O15" s="366"/>
      <c r="P15" s="367"/>
      <c r="Q15" s="368">
        <v>0.25</v>
      </c>
      <c r="R15" s="369">
        <f>Q15*$G15</f>
        <v>588.52449999999999</v>
      </c>
      <c r="S15" s="366"/>
      <c r="T15" s="367"/>
      <c r="U15" s="366"/>
      <c r="V15" s="367"/>
      <c r="W15" s="368">
        <v>0.25</v>
      </c>
      <c r="X15" s="369">
        <f>G15*W15</f>
        <v>588.52449999999999</v>
      </c>
      <c r="Y15" s="366"/>
      <c r="Z15" s="367"/>
      <c r="AA15" s="368">
        <v>0.25</v>
      </c>
      <c r="AB15" s="369">
        <f>AA15*G15</f>
        <v>588.52449999999999</v>
      </c>
      <c r="AC15" s="365"/>
      <c r="AD15" s="365"/>
      <c r="AE15" s="365"/>
      <c r="AF15" s="365"/>
      <c r="AG15" s="281">
        <f t="shared" si="1"/>
        <v>1</v>
      </c>
      <c r="AH15" s="370">
        <f t="shared" si="1"/>
        <v>2354.098</v>
      </c>
    </row>
    <row r="16" spans="1:34" ht="36">
      <c r="A16" s="457" t="s">
        <v>343</v>
      </c>
      <c r="B16" s="222">
        <v>97066</v>
      </c>
      <c r="C16" s="221" t="s">
        <v>282</v>
      </c>
      <c r="D16" s="85" t="s">
        <v>25</v>
      </c>
      <c r="E16" s="86">
        <f>ORÇAMENTO!E16</f>
        <v>27.2</v>
      </c>
      <c r="F16" s="87">
        <f>ORÇAMENTO!F16</f>
        <v>144.54</v>
      </c>
      <c r="G16" s="458">
        <f t="shared" si="0"/>
        <v>3931.4879999999998</v>
      </c>
      <c r="I16" s="376">
        <v>0.1</v>
      </c>
      <c r="J16" s="377">
        <f>I16*G16</f>
        <v>393.14879999999999</v>
      </c>
      <c r="K16" s="378">
        <v>0.1</v>
      </c>
      <c r="L16" s="377">
        <f>G16*K16</f>
        <v>393.14879999999999</v>
      </c>
      <c r="M16" s="378">
        <v>0.1</v>
      </c>
      <c r="N16" s="377">
        <f>G16*M16</f>
        <v>393.14879999999999</v>
      </c>
      <c r="O16" s="378">
        <v>0.1</v>
      </c>
      <c r="P16" s="377">
        <f>O16*G16</f>
        <v>393.14879999999999</v>
      </c>
      <c r="Q16" s="378">
        <v>0.1</v>
      </c>
      <c r="R16" s="377">
        <f>G16*Q16</f>
        <v>393.14879999999999</v>
      </c>
      <c r="S16" s="378">
        <v>0.1</v>
      </c>
      <c r="T16" s="377">
        <f>S16*G16</f>
        <v>393.14879999999999</v>
      </c>
      <c r="U16" s="378">
        <v>0.1</v>
      </c>
      <c r="V16" s="377">
        <f>G16*U16</f>
        <v>393.14879999999999</v>
      </c>
      <c r="W16" s="378">
        <v>0.1</v>
      </c>
      <c r="X16" s="377">
        <f>G16*W16</f>
        <v>393.14879999999999</v>
      </c>
      <c r="Y16" s="378">
        <v>0.1</v>
      </c>
      <c r="Z16" s="377">
        <f>G16*Y16</f>
        <v>393.14879999999999</v>
      </c>
      <c r="AA16" s="378">
        <v>0.1</v>
      </c>
      <c r="AB16" s="377">
        <f>G16*AA16</f>
        <v>393.14879999999999</v>
      </c>
      <c r="AC16" s="365"/>
      <c r="AD16" s="365"/>
      <c r="AE16" s="365"/>
      <c r="AF16" s="365"/>
      <c r="AG16" s="283">
        <f t="shared" si="1"/>
        <v>0.99999999999999989</v>
      </c>
      <c r="AH16" s="379">
        <f t="shared" si="1"/>
        <v>3931.4879999999998</v>
      </c>
    </row>
    <row r="17" spans="1:34" ht="36">
      <c r="A17" s="457" t="s">
        <v>344</v>
      </c>
      <c r="B17" s="222" t="s">
        <v>47</v>
      </c>
      <c r="C17" s="221" t="s">
        <v>517</v>
      </c>
      <c r="D17" s="85" t="s">
        <v>25</v>
      </c>
      <c r="E17" s="86">
        <f>ORÇAMENTO!E17</f>
        <v>113.2</v>
      </c>
      <c r="F17" s="87">
        <f>ORÇAMENTO!F17</f>
        <v>3.29</v>
      </c>
      <c r="G17" s="458">
        <f t="shared" si="0"/>
        <v>372.428</v>
      </c>
      <c r="I17" s="375">
        <v>1</v>
      </c>
      <c r="J17" s="369">
        <f>I17*G17</f>
        <v>372.428</v>
      </c>
      <c r="K17" s="380"/>
      <c r="L17" s="381"/>
      <c r="M17" s="380"/>
      <c r="N17" s="381"/>
      <c r="O17" s="380"/>
      <c r="P17" s="381"/>
      <c r="Q17" s="380"/>
      <c r="R17" s="381"/>
      <c r="S17" s="380"/>
      <c r="T17" s="381"/>
      <c r="U17" s="380"/>
      <c r="V17" s="381"/>
      <c r="W17" s="380"/>
      <c r="X17" s="381"/>
      <c r="Y17" s="380"/>
      <c r="Z17" s="381"/>
      <c r="AA17" s="380"/>
      <c r="AB17" s="381"/>
      <c r="AC17" s="365"/>
      <c r="AD17" s="365"/>
      <c r="AE17" s="365"/>
      <c r="AF17" s="365"/>
      <c r="AG17" s="281">
        <f t="shared" si="1"/>
        <v>1</v>
      </c>
      <c r="AH17" s="370">
        <f t="shared" si="1"/>
        <v>372.428</v>
      </c>
    </row>
    <row r="18" spans="1:34" ht="24">
      <c r="A18" s="457" t="s">
        <v>345</v>
      </c>
      <c r="B18" s="222" t="s">
        <v>45</v>
      </c>
      <c r="C18" s="346" t="s">
        <v>256</v>
      </c>
      <c r="D18" s="85" t="s">
        <v>25</v>
      </c>
      <c r="E18" s="86">
        <f>ORÇAMENTO!E18</f>
        <v>142.34000000000003</v>
      </c>
      <c r="F18" s="87">
        <f>ORÇAMENTO!F18</f>
        <v>47.8</v>
      </c>
      <c r="G18" s="458">
        <f t="shared" si="0"/>
        <v>6803.8520000000008</v>
      </c>
      <c r="I18" s="382">
        <v>0.25</v>
      </c>
      <c r="J18" s="377">
        <f>G18*I18</f>
        <v>1700.9630000000002</v>
      </c>
      <c r="K18" s="383"/>
      <c r="L18" s="377"/>
      <c r="M18" s="383"/>
      <c r="N18" s="377"/>
      <c r="O18" s="383"/>
      <c r="P18" s="377"/>
      <c r="Q18" s="383">
        <v>0.25</v>
      </c>
      <c r="R18" s="377">
        <f>Q18*G18</f>
        <v>1700.9630000000002</v>
      </c>
      <c r="S18" s="383"/>
      <c r="T18" s="377"/>
      <c r="U18" s="383"/>
      <c r="V18" s="377"/>
      <c r="W18" s="383">
        <v>0.25</v>
      </c>
      <c r="X18" s="377">
        <f>W18*G18</f>
        <v>1700.9630000000002</v>
      </c>
      <c r="Y18" s="383"/>
      <c r="Z18" s="377"/>
      <c r="AA18" s="383">
        <v>0.25</v>
      </c>
      <c r="AB18" s="377">
        <f>AA18*G18</f>
        <v>1700.9630000000002</v>
      </c>
      <c r="AC18" s="365"/>
      <c r="AD18" s="365"/>
      <c r="AE18" s="365"/>
      <c r="AF18" s="365"/>
      <c r="AG18" s="283">
        <f t="shared" si="1"/>
        <v>1</v>
      </c>
      <c r="AH18" s="379">
        <f t="shared" si="1"/>
        <v>6803.8520000000008</v>
      </c>
    </row>
    <row r="19" spans="1:34" ht="72">
      <c r="A19" s="457" t="s">
        <v>346</v>
      </c>
      <c r="B19" s="222">
        <v>85424</v>
      </c>
      <c r="C19" s="346" t="s">
        <v>247</v>
      </c>
      <c r="D19" s="85" t="s">
        <v>25</v>
      </c>
      <c r="E19" s="86">
        <f>ORÇAMENTO!E19</f>
        <v>135.87</v>
      </c>
      <c r="F19" s="87">
        <f>ORÇAMENTO!F19</f>
        <v>20.51</v>
      </c>
      <c r="G19" s="458">
        <f t="shared" si="0"/>
        <v>2786.6937000000003</v>
      </c>
      <c r="I19" s="384">
        <v>0.25</v>
      </c>
      <c r="J19" s="369">
        <f t="shared" ref="J19" si="3">I19*$G19</f>
        <v>696.67342500000007</v>
      </c>
      <c r="K19" s="385"/>
      <c r="L19" s="365"/>
      <c r="M19" s="385"/>
      <c r="N19" s="365"/>
      <c r="O19" s="385"/>
      <c r="P19" s="365"/>
      <c r="Q19" s="386">
        <v>0.25</v>
      </c>
      <c r="R19" s="369">
        <f>Q19*G19</f>
        <v>696.67342500000007</v>
      </c>
      <c r="S19" s="385"/>
      <c r="T19" s="365"/>
      <c r="U19" s="385"/>
      <c r="V19" s="365"/>
      <c r="W19" s="386">
        <v>0.25</v>
      </c>
      <c r="X19" s="369">
        <f>W19*G19</f>
        <v>696.67342500000007</v>
      </c>
      <c r="Y19" s="385"/>
      <c r="Z19" s="365"/>
      <c r="AA19" s="386">
        <v>0.25</v>
      </c>
      <c r="AB19" s="369">
        <f t="shared" ref="AB19" si="4">AA19*$G19</f>
        <v>696.67342500000007</v>
      </c>
      <c r="AC19" s="365"/>
      <c r="AD19" s="365"/>
      <c r="AE19" s="365"/>
      <c r="AF19" s="365"/>
      <c r="AG19" s="281">
        <f t="shared" si="1"/>
        <v>1</v>
      </c>
      <c r="AH19" s="370">
        <f t="shared" si="1"/>
        <v>2786.6937000000003</v>
      </c>
    </row>
    <row r="20" spans="1:34" ht="36">
      <c r="A20" s="457" t="s">
        <v>347</v>
      </c>
      <c r="B20" s="222">
        <v>3777</v>
      </c>
      <c r="C20" s="347" t="s">
        <v>438</v>
      </c>
      <c r="D20" s="85" t="s">
        <v>25</v>
      </c>
      <c r="E20" s="86">
        <f>ORÇAMENTO!E20</f>
        <v>258.8</v>
      </c>
      <c r="F20" s="87">
        <f>ORÇAMENTO!F20</f>
        <v>4.74</v>
      </c>
      <c r="G20" s="458">
        <f t="shared" si="0"/>
        <v>1226.7120000000002</v>
      </c>
      <c r="I20" s="387"/>
      <c r="J20" s="365"/>
      <c r="K20" s="385"/>
      <c r="L20" s="365"/>
      <c r="M20" s="385"/>
      <c r="N20" s="365"/>
      <c r="O20" s="385"/>
      <c r="P20" s="365"/>
      <c r="Q20" s="383">
        <v>0.5</v>
      </c>
      <c r="R20" s="377">
        <f>Q20*G20</f>
        <v>613.35600000000011</v>
      </c>
      <c r="S20" s="385"/>
      <c r="T20" s="365"/>
      <c r="U20" s="385"/>
      <c r="V20" s="365"/>
      <c r="W20" s="385"/>
      <c r="X20" s="365"/>
      <c r="Y20" s="383">
        <v>0.5</v>
      </c>
      <c r="Z20" s="377">
        <f>G20*Y20</f>
        <v>613.35600000000011</v>
      </c>
      <c r="AA20" s="385"/>
      <c r="AB20" s="365"/>
      <c r="AC20" s="365"/>
      <c r="AD20" s="365"/>
      <c r="AE20" s="365"/>
      <c r="AF20" s="365"/>
      <c r="AG20" s="283">
        <f t="shared" si="1"/>
        <v>1</v>
      </c>
      <c r="AH20" s="379">
        <f t="shared" si="1"/>
        <v>1226.7120000000002</v>
      </c>
    </row>
    <row r="21" spans="1:34">
      <c r="A21" s="457" t="s">
        <v>348</v>
      </c>
      <c r="B21" s="348">
        <v>72897</v>
      </c>
      <c r="C21" s="347" t="s">
        <v>250</v>
      </c>
      <c r="D21" s="85" t="s">
        <v>22</v>
      </c>
      <c r="E21" s="86">
        <f>ORÇAMENTO!E21</f>
        <v>112.68400000000001</v>
      </c>
      <c r="F21" s="87">
        <f>ORÇAMENTO!F21</f>
        <v>16.7</v>
      </c>
      <c r="G21" s="458">
        <f t="shared" si="0"/>
        <v>1881.8228000000001</v>
      </c>
      <c r="I21" s="375">
        <v>0.25</v>
      </c>
      <c r="J21" s="369">
        <f>I21*G21</f>
        <v>470.45570000000004</v>
      </c>
      <c r="K21" s="380"/>
      <c r="L21" s="381"/>
      <c r="M21" s="380"/>
      <c r="N21" s="381"/>
      <c r="O21" s="380"/>
      <c r="P21" s="381"/>
      <c r="Q21" s="368">
        <v>0.25</v>
      </c>
      <c r="R21" s="369">
        <f>G21*Q21</f>
        <v>470.45570000000004</v>
      </c>
      <c r="S21" s="380"/>
      <c r="T21" s="365"/>
      <c r="U21" s="388"/>
      <c r="V21" s="365"/>
      <c r="W21" s="368">
        <v>0.25</v>
      </c>
      <c r="X21" s="369">
        <f>G21*W21</f>
        <v>470.45570000000004</v>
      </c>
      <c r="Y21" s="380"/>
      <c r="Z21" s="381"/>
      <c r="AA21" s="368">
        <v>0.25</v>
      </c>
      <c r="AB21" s="369">
        <f>G21*AA21</f>
        <v>470.45570000000004</v>
      </c>
      <c r="AC21" s="365"/>
      <c r="AD21" s="365"/>
      <c r="AE21" s="365"/>
      <c r="AF21" s="365"/>
      <c r="AG21" s="281">
        <f t="shared" si="1"/>
        <v>1</v>
      </c>
      <c r="AH21" s="370">
        <f t="shared" si="1"/>
        <v>1881.8228000000001</v>
      </c>
    </row>
    <row r="22" spans="1:34" ht="24">
      <c r="A22" s="457" t="s">
        <v>415</v>
      </c>
      <c r="B22" s="83" t="s">
        <v>210</v>
      </c>
      <c r="C22" s="347" t="s">
        <v>439</v>
      </c>
      <c r="D22" s="85" t="s">
        <v>128</v>
      </c>
      <c r="E22" s="86">
        <f>ORÇAMENTO!E22</f>
        <v>23</v>
      </c>
      <c r="F22" s="87">
        <f>ORÇAMENTO!F22</f>
        <v>255</v>
      </c>
      <c r="G22" s="458">
        <f t="shared" si="0"/>
        <v>5865</v>
      </c>
      <c r="I22" s="376">
        <v>0.25</v>
      </c>
      <c r="J22" s="377">
        <f>I22*G22</f>
        <v>1466.25</v>
      </c>
      <c r="K22" s="388"/>
      <c r="L22" s="365"/>
      <c r="M22" s="380"/>
      <c r="N22" s="381"/>
      <c r="O22" s="380"/>
      <c r="P22" s="381"/>
      <c r="Q22" s="378">
        <v>0.25</v>
      </c>
      <c r="R22" s="377">
        <f>G22*Q22</f>
        <v>1466.25</v>
      </c>
      <c r="S22" s="380"/>
      <c r="T22" s="381"/>
      <c r="U22" s="380"/>
      <c r="V22" s="381"/>
      <c r="W22" s="378">
        <v>0.25</v>
      </c>
      <c r="X22" s="377">
        <f>G22*W22</f>
        <v>1466.25</v>
      </c>
      <c r="Y22" s="380"/>
      <c r="Z22" s="381"/>
      <c r="AA22" s="378">
        <v>0.25</v>
      </c>
      <c r="AB22" s="377">
        <f>G22*AA22</f>
        <v>1466.25</v>
      </c>
      <c r="AC22" s="365"/>
      <c r="AD22" s="365"/>
      <c r="AE22" s="365"/>
      <c r="AF22" s="365"/>
      <c r="AG22" s="283">
        <f t="shared" si="1"/>
        <v>1</v>
      </c>
      <c r="AH22" s="379">
        <f t="shared" si="1"/>
        <v>5865</v>
      </c>
    </row>
    <row r="23" spans="1:34" ht="36">
      <c r="A23" s="457" t="s">
        <v>424</v>
      </c>
      <c r="B23" s="349">
        <v>90776</v>
      </c>
      <c r="C23" s="350" t="s">
        <v>513</v>
      </c>
      <c r="D23" s="85" t="s">
        <v>20</v>
      </c>
      <c r="E23" s="86">
        <f>ORÇAMENTO!E23</f>
        <v>400</v>
      </c>
      <c r="F23" s="87">
        <f>ORÇAMENTO!F23</f>
        <v>16.78</v>
      </c>
      <c r="G23" s="458">
        <f t="shared" si="0"/>
        <v>6712</v>
      </c>
      <c r="I23" s="375">
        <v>0.1</v>
      </c>
      <c r="J23" s="369">
        <f>I23*G23</f>
        <v>671.2</v>
      </c>
      <c r="K23" s="368">
        <v>0.1</v>
      </c>
      <c r="L23" s="369">
        <f t="shared" ref="L23" si="5">K23*$G23</f>
        <v>671.2</v>
      </c>
      <c r="M23" s="368">
        <v>0.1</v>
      </c>
      <c r="N23" s="369">
        <f>M23*G23</f>
        <v>671.2</v>
      </c>
      <c r="O23" s="368">
        <v>0.1</v>
      </c>
      <c r="P23" s="369">
        <f>O23*G23</f>
        <v>671.2</v>
      </c>
      <c r="Q23" s="368">
        <v>0.1</v>
      </c>
      <c r="R23" s="369">
        <f>G23*Q23</f>
        <v>671.2</v>
      </c>
      <c r="S23" s="368">
        <v>0.1</v>
      </c>
      <c r="T23" s="369">
        <f>G23*S23</f>
        <v>671.2</v>
      </c>
      <c r="U23" s="368">
        <v>0.1</v>
      </c>
      <c r="V23" s="369">
        <f>U23*$G23</f>
        <v>671.2</v>
      </c>
      <c r="W23" s="368">
        <v>0.1</v>
      </c>
      <c r="X23" s="369">
        <f>W23*G23</f>
        <v>671.2</v>
      </c>
      <c r="Y23" s="368">
        <v>0.1</v>
      </c>
      <c r="Z23" s="369">
        <f>Y23*G23</f>
        <v>671.2</v>
      </c>
      <c r="AA23" s="368">
        <v>0.1</v>
      </c>
      <c r="AB23" s="369">
        <f>G23*AA23</f>
        <v>671.2</v>
      </c>
      <c r="AC23" s="365"/>
      <c r="AD23" s="365"/>
      <c r="AE23" s="365"/>
      <c r="AF23" s="365"/>
      <c r="AG23" s="281">
        <f t="shared" si="1"/>
        <v>0.99999999999999989</v>
      </c>
      <c r="AH23" s="370">
        <f t="shared" si="1"/>
        <v>6711.9999999999991</v>
      </c>
    </row>
    <row r="24" spans="1:34">
      <c r="A24" s="459">
        <v>2</v>
      </c>
      <c r="B24" s="90"/>
      <c r="C24" s="220" t="s">
        <v>410</v>
      </c>
      <c r="D24" s="219"/>
      <c r="E24" s="218"/>
      <c r="F24" s="217"/>
      <c r="G24" s="456"/>
      <c r="I24" s="389" t="s">
        <v>410</v>
      </c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1"/>
      <c r="AG24" s="290"/>
      <c r="AH24" s="313"/>
    </row>
    <row r="25" spans="1:34" ht="24">
      <c r="A25" s="457" t="s">
        <v>23</v>
      </c>
      <c r="B25" s="83">
        <v>73686</v>
      </c>
      <c r="C25" s="84" t="s">
        <v>433</v>
      </c>
      <c r="D25" s="85" t="s">
        <v>25</v>
      </c>
      <c r="E25" s="86">
        <f>ORÇAMENTO!E25</f>
        <v>96.22</v>
      </c>
      <c r="F25" s="87">
        <f>ORÇAMENTO!F25</f>
        <v>16.96</v>
      </c>
      <c r="G25" s="458">
        <f>F25*E25</f>
        <v>1631.8912</v>
      </c>
      <c r="I25" s="314"/>
      <c r="J25" s="291"/>
      <c r="K25" s="283">
        <v>1</v>
      </c>
      <c r="L25" s="292">
        <f>G25</f>
        <v>1631.8912</v>
      </c>
      <c r="M25" s="285"/>
      <c r="N25" s="286"/>
      <c r="O25" s="285"/>
      <c r="P25" s="286"/>
      <c r="Q25" s="293"/>
      <c r="R25" s="294"/>
      <c r="S25" s="279"/>
      <c r="T25" s="280"/>
      <c r="U25" s="285"/>
      <c r="V25" s="286"/>
      <c r="W25" s="285"/>
      <c r="X25" s="286"/>
      <c r="Y25" s="285"/>
      <c r="Z25" s="286"/>
      <c r="AA25" s="285"/>
      <c r="AB25" s="286"/>
      <c r="AC25" s="286"/>
      <c r="AD25" s="286"/>
      <c r="AE25" s="286"/>
      <c r="AF25" s="286"/>
      <c r="AG25" s="283">
        <f t="shared" ref="AG25:AH37" si="6">I25+K25+M25+O25+Q25+S25+U25+W25+Y25+AA25</f>
        <v>1</v>
      </c>
      <c r="AH25" s="309">
        <f t="shared" si="6"/>
        <v>1631.8912</v>
      </c>
    </row>
    <row r="26" spans="1:34" ht="22.5">
      <c r="A26" s="457" t="s">
        <v>24</v>
      </c>
      <c r="B26" s="83" t="s">
        <v>440</v>
      </c>
      <c r="C26" s="351" t="s">
        <v>58</v>
      </c>
      <c r="D26" s="85" t="s">
        <v>22</v>
      </c>
      <c r="E26" s="86">
        <f>ORÇAMENTO!E26</f>
        <v>4.82</v>
      </c>
      <c r="F26" s="87">
        <f>ORÇAMENTO!F26</f>
        <v>177.68</v>
      </c>
      <c r="G26" s="458">
        <f t="shared" ref="G26:G37" si="7">F26*E26</f>
        <v>856.41760000000011</v>
      </c>
      <c r="I26" s="312"/>
      <c r="J26" s="280"/>
      <c r="K26" s="311">
        <v>0.5</v>
      </c>
      <c r="L26" s="282">
        <f>G26*K26</f>
        <v>428.20880000000005</v>
      </c>
      <c r="M26" s="288">
        <v>0.5</v>
      </c>
      <c r="N26" s="282">
        <f>M26*G26</f>
        <v>428.20880000000005</v>
      </c>
      <c r="O26" s="289"/>
      <c r="P26" s="280"/>
      <c r="Q26" s="289"/>
      <c r="R26" s="280"/>
      <c r="S26" s="289"/>
      <c r="T26" s="280"/>
      <c r="U26" s="289"/>
      <c r="V26" s="280"/>
      <c r="W26" s="289"/>
      <c r="X26" s="280"/>
      <c r="Y26" s="289"/>
      <c r="Z26" s="280"/>
      <c r="AA26" s="289"/>
      <c r="AB26" s="280"/>
      <c r="AC26" s="280"/>
      <c r="AD26" s="280"/>
      <c r="AE26" s="280"/>
      <c r="AF26" s="280"/>
      <c r="AG26" s="281">
        <f t="shared" si="6"/>
        <v>1</v>
      </c>
      <c r="AH26" s="308">
        <f t="shared" si="6"/>
        <v>856.41760000000011</v>
      </c>
    </row>
    <row r="27" spans="1:34" ht="24">
      <c r="A27" s="457" t="s">
        <v>311</v>
      </c>
      <c r="B27" s="83" t="s">
        <v>441</v>
      </c>
      <c r="C27" s="351" t="s">
        <v>442</v>
      </c>
      <c r="D27" s="352" t="s">
        <v>26</v>
      </c>
      <c r="E27" s="86">
        <f>ORÇAMENTO!E27</f>
        <v>56.6</v>
      </c>
      <c r="F27" s="87">
        <f>ORÇAMENTO!F27</f>
        <v>6.83</v>
      </c>
      <c r="G27" s="458">
        <f t="shared" si="7"/>
        <v>386.57800000000003</v>
      </c>
      <c r="I27" s="312"/>
      <c r="J27" s="280"/>
      <c r="K27" s="310">
        <v>0.5</v>
      </c>
      <c r="L27" s="284">
        <f>G27*K27</f>
        <v>193.28900000000002</v>
      </c>
      <c r="M27" s="287">
        <v>0.5</v>
      </c>
      <c r="N27" s="284">
        <f>G27*M27</f>
        <v>193.28900000000002</v>
      </c>
      <c r="O27" s="289"/>
      <c r="P27" s="280"/>
      <c r="Q27" s="289"/>
      <c r="R27" s="280"/>
      <c r="S27" s="289"/>
      <c r="T27" s="280"/>
      <c r="U27" s="289"/>
      <c r="V27" s="280"/>
      <c r="W27" s="289"/>
      <c r="X27" s="280"/>
      <c r="Y27" s="289"/>
      <c r="Z27" s="280"/>
      <c r="AA27" s="289"/>
      <c r="AB27" s="280"/>
      <c r="AC27" s="280"/>
      <c r="AD27" s="280"/>
      <c r="AE27" s="280"/>
      <c r="AF27" s="280"/>
      <c r="AG27" s="283">
        <f t="shared" si="6"/>
        <v>1</v>
      </c>
      <c r="AH27" s="309">
        <f t="shared" si="6"/>
        <v>386.57800000000003</v>
      </c>
    </row>
    <row r="28" spans="1:34" ht="60">
      <c r="A28" s="457" t="s">
        <v>312</v>
      </c>
      <c r="B28" s="83" t="s">
        <v>443</v>
      </c>
      <c r="C28" s="84" t="s">
        <v>444</v>
      </c>
      <c r="D28" s="352" t="s">
        <v>26</v>
      </c>
      <c r="E28" s="86">
        <f>ORÇAMENTO!E28</f>
        <v>96</v>
      </c>
      <c r="F28" s="87">
        <f>ORÇAMENTO!F28</f>
        <v>53.208888888888886</v>
      </c>
      <c r="G28" s="458">
        <f t="shared" si="7"/>
        <v>5108.0533333333333</v>
      </c>
      <c r="I28" s="312"/>
      <c r="J28" s="280"/>
      <c r="K28" s="288">
        <v>0.5</v>
      </c>
      <c r="L28" s="282">
        <f>G28*K28</f>
        <v>2554.0266666666666</v>
      </c>
      <c r="M28" s="288">
        <v>0.5</v>
      </c>
      <c r="N28" s="282">
        <f>M28*G28</f>
        <v>2554.0266666666666</v>
      </c>
      <c r="O28" s="289"/>
      <c r="P28" s="280"/>
      <c r="Q28" s="289"/>
      <c r="R28" s="280"/>
      <c r="S28" s="289"/>
      <c r="T28" s="280"/>
      <c r="U28" s="289"/>
      <c r="V28" s="280"/>
      <c r="W28" s="289"/>
      <c r="X28" s="280"/>
      <c r="Y28" s="289"/>
      <c r="Z28" s="280"/>
      <c r="AA28" s="289"/>
      <c r="AB28" s="280"/>
      <c r="AC28" s="280"/>
      <c r="AD28" s="280"/>
      <c r="AE28" s="280"/>
      <c r="AF28" s="280"/>
      <c r="AG28" s="281">
        <f t="shared" si="6"/>
        <v>1</v>
      </c>
      <c r="AH28" s="308">
        <f t="shared" si="6"/>
        <v>5108.0533333333333</v>
      </c>
    </row>
    <row r="29" spans="1:34" ht="24">
      <c r="A29" s="457" t="s">
        <v>313</v>
      </c>
      <c r="B29" s="83">
        <v>96523</v>
      </c>
      <c r="C29" s="84" t="s">
        <v>57</v>
      </c>
      <c r="D29" s="352" t="s">
        <v>22</v>
      </c>
      <c r="E29" s="86">
        <f>ORÇAMENTO!E29</f>
        <v>7.06</v>
      </c>
      <c r="F29" s="87">
        <f>ORÇAMENTO!F29</f>
        <v>61.61</v>
      </c>
      <c r="G29" s="458">
        <f t="shared" si="7"/>
        <v>434.96659999999997</v>
      </c>
      <c r="I29" s="307"/>
      <c r="J29" s="280"/>
      <c r="K29" s="279"/>
      <c r="L29" s="280"/>
      <c r="M29" s="283">
        <v>0.5</v>
      </c>
      <c r="N29" s="284">
        <f>M29*G29</f>
        <v>217.48329999999999</v>
      </c>
      <c r="O29" s="283">
        <v>0.5</v>
      </c>
      <c r="P29" s="284">
        <f>O29*G29</f>
        <v>217.48329999999999</v>
      </c>
      <c r="Q29" s="279"/>
      <c r="R29" s="280"/>
      <c r="S29" s="279"/>
      <c r="T29" s="280"/>
      <c r="U29" s="279"/>
      <c r="V29" s="280"/>
      <c r="W29" s="279"/>
      <c r="X29" s="280"/>
      <c r="Y29" s="279"/>
      <c r="Z29" s="280"/>
      <c r="AA29" s="279"/>
      <c r="AB29" s="280"/>
      <c r="AC29" s="280"/>
      <c r="AD29" s="280"/>
      <c r="AE29" s="280"/>
      <c r="AF29" s="280"/>
      <c r="AG29" s="283">
        <f t="shared" si="6"/>
        <v>1</v>
      </c>
      <c r="AH29" s="309">
        <f t="shared" si="6"/>
        <v>434.96659999999997</v>
      </c>
    </row>
    <row r="30" spans="1:34" ht="36">
      <c r="A30" s="457" t="s">
        <v>314</v>
      </c>
      <c r="B30" s="83">
        <v>96537</v>
      </c>
      <c r="C30" s="84" t="s">
        <v>67</v>
      </c>
      <c r="D30" s="85" t="s">
        <v>25</v>
      </c>
      <c r="E30" s="86">
        <f>ORÇAMENTO!E30</f>
        <v>19.8</v>
      </c>
      <c r="F30" s="87">
        <f>ORÇAMENTO!F30</f>
        <v>118.36</v>
      </c>
      <c r="G30" s="458">
        <f t="shared" si="7"/>
        <v>2343.5280000000002</v>
      </c>
      <c r="I30" s="307"/>
      <c r="J30" s="280"/>
      <c r="K30" s="279"/>
      <c r="L30" s="280"/>
      <c r="M30" s="281">
        <v>0.5</v>
      </c>
      <c r="N30" s="282">
        <f>M30*G30</f>
        <v>1171.7640000000001</v>
      </c>
      <c r="O30" s="281">
        <v>0.5</v>
      </c>
      <c r="P30" s="282">
        <f>O30*G30</f>
        <v>1171.7640000000001</v>
      </c>
      <c r="Q30" s="279"/>
      <c r="R30" s="280"/>
      <c r="S30" s="279"/>
      <c r="T30" s="280"/>
      <c r="U30" s="277"/>
      <c r="V30" s="278"/>
      <c r="W30" s="279"/>
      <c r="X30" s="280"/>
      <c r="Y30" s="279"/>
      <c r="Z30" s="280"/>
      <c r="AA30" s="279"/>
      <c r="AB30" s="278"/>
      <c r="AC30" s="278"/>
      <c r="AD30" s="278"/>
      <c r="AE30" s="278"/>
      <c r="AF30" s="278"/>
      <c r="AG30" s="281">
        <f t="shared" si="6"/>
        <v>1</v>
      </c>
      <c r="AH30" s="308">
        <f t="shared" si="6"/>
        <v>2343.5280000000002</v>
      </c>
    </row>
    <row r="31" spans="1:34">
      <c r="A31" s="457" t="s">
        <v>315</v>
      </c>
      <c r="B31" s="83">
        <v>4718</v>
      </c>
      <c r="C31" s="84" t="s">
        <v>71</v>
      </c>
      <c r="D31" s="85" t="s">
        <v>22</v>
      </c>
      <c r="E31" s="86">
        <f>ORÇAMENTO!E31</f>
        <v>0.3</v>
      </c>
      <c r="F31" s="87">
        <f>ORÇAMENTO!F31</f>
        <v>79.05</v>
      </c>
      <c r="G31" s="458">
        <f t="shared" si="7"/>
        <v>23.715</v>
      </c>
      <c r="I31" s="315"/>
      <c r="J31" s="278"/>
      <c r="K31" s="279"/>
      <c r="L31" s="280"/>
      <c r="M31" s="283">
        <v>0.5</v>
      </c>
      <c r="N31" s="284">
        <f>M31*G31</f>
        <v>11.8575</v>
      </c>
      <c r="O31" s="283">
        <v>0.5</v>
      </c>
      <c r="P31" s="284">
        <f>O31*G31</f>
        <v>11.8575</v>
      </c>
      <c r="Q31" s="279"/>
      <c r="R31" s="280"/>
      <c r="S31" s="277"/>
      <c r="T31" s="278"/>
      <c r="U31" s="277"/>
      <c r="V31" s="278"/>
      <c r="W31" s="277"/>
      <c r="X31" s="278"/>
      <c r="Y31" s="277"/>
      <c r="Z31" s="278"/>
      <c r="AA31" s="277"/>
      <c r="AB31" s="278"/>
      <c r="AC31" s="278"/>
      <c r="AD31" s="278"/>
      <c r="AE31" s="278"/>
      <c r="AF31" s="278"/>
      <c r="AG31" s="283">
        <f t="shared" si="6"/>
        <v>1</v>
      </c>
      <c r="AH31" s="309">
        <f t="shared" si="6"/>
        <v>23.715</v>
      </c>
    </row>
    <row r="32" spans="1:34" ht="36">
      <c r="A32" s="457" t="s">
        <v>316</v>
      </c>
      <c r="B32" s="83">
        <v>94969</v>
      </c>
      <c r="C32" s="84" t="s">
        <v>73</v>
      </c>
      <c r="D32" s="85" t="s">
        <v>22</v>
      </c>
      <c r="E32" s="86">
        <f>ORÇAMENTO!E32</f>
        <v>0.3</v>
      </c>
      <c r="F32" s="87">
        <f>ORÇAMENTO!F32</f>
        <v>281.12</v>
      </c>
      <c r="G32" s="458">
        <f t="shared" si="7"/>
        <v>84.335999999999999</v>
      </c>
      <c r="I32" s="307"/>
      <c r="J32" s="280"/>
      <c r="K32" s="279"/>
      <c r="L32" s="280"/>
      <c r="M32" s="281">
        <v>0.5</v>
      </c>
      <c r="N32" s="282">
        <f>G32*M32</f>
        <v>42.167999999999999</v>
      </c>
      <c r="O32" s="281">
        <v>0.5</v>
      </c>
      <c r="P32" s="282">
        <f>O32*G32</f>
        <v>42.167999999999999</v>
      </c>
      <c r="Q32" s="279"/>
      <c r="R32" s="280"/>
      <c r="S32" s="279"/>
      <c r="T32" s="280"/>
      <c r="U32" s="279"/>
      <c r="V32" s="280"/>
      <c r="W32" s="279"/>
      <c r="X32" s="280"/>
      <c r="Y32" s="279"/>
      <c r="Z32" s="280"/>
      <c r="AA32" s="279"/>
      <c r="AB32" s="280"/>
      <c r="AC32" s="280"/>
      <c r="AD32" s="280"/>
      <c r="AE32" s="280"/>
      <c r="AF32" s="280"/>
      <c r="AG32" s="281">
        <f t="shared" si="6"/>
        <v>1</v>
      </c>
      <c r="AH32" s="308">
        <f t="shared" si="6"/>
        <v>84.335999999999999</v>
      </c>
    </row>
    <row r="33" spans="1:34" ht="36">
      <c r="A33" s="457" t="s">
        <v>317</v>
      </c>
      <c r="B33" s="83">
        <v>96555</v>
      </c>
      <c r="C33" s="84" t="s">
        <v>62</v>
      </c>
      <c r="D33" s="85" t="s">
        <v>22</v>
      </c>
      <c r="E33" s="86">
        <f>ORÇAMENTO!E33</f>
        <v>3</v>
      </c>
      <c r="F33" s="87">
        <f>ORÇAMENTO!F33</f>
        <v>441.71</v>
      </c>
      <c r="G33" s="458">
        <f t="shared" si="7"/>
        <v>1325.1299999999999</v>
      </c>
      <c r="I33" s="315"/>
      <c r="J33" s="278"/>
      <c r="K33" s="279"/>
      <c r="L33" s="280"/>
      <c r="M33" s="283">
        <v>0.5</v>
      </c>
      <c r="N33" s="284">
        <f>M33*G33</f>
        <v>662.56499999999994</v>
      </c>
      <c r="O33" s="283">
        <v>0.5</v>
      </c>
      <c r="P33" s="284">
        <f>O33*G33</f>
        <v>662.56499999999994</v>
      </c>
      <c r="Q33" s="279"/>
      <c r="R33" s="280"/>
      <c r="S33" s="277"/>
      <c r="T33" s="278"/>
      <c r="U33" s="277"/>
      <c r="V33" s="278"/>
      <c r="W33" s="277"/>
      <c r="X33" s="278"/>
      <c r="Y33" s="277"/>
      <c r="Z33" s="278"/>
      <c r="AA33" s="277"/>
      <c r="AB33" s="278"/>
      <c r="AC33" s="278"/>
      <c r="AD33" s="278"/>
      <c r="AE33" s="278"/>
      <c r="AF33" s="278"/>
      <c r="AG33" s="283">
        <f t="shared" si="6"/>
        <v>1</v>
      </c>
      <c r="AH33" s="309">
        <f t="shared" si="6"/>
        <v>1325.1299999999999</v>
      </c>
    </row>
    <row r="34" spans="1:34" ht="24">
      <c r="A34" s="457" t="s">
        <v>318</v>
      </c>
      <c r="B34" s="83">
        <v>96546</v>
      </c>
      <c r="C34" s="84" t="s">
        <v>65</v>
      </c>
      <c r="D34" s="85" t="s">
        <v>63</v>
      </c>
      <c r="E34" s="86">
        <f>ORÇAMENTO!E34</f>
        <v>232</v>
      </c>
      <c r="F34" s="87">
        <f>ORÇAMENTO!F34</f>
        <v>7.7</v>
      </c>
      <c r="G34" s="458">
        <f t="shared" si="7"/>
        <v>1786.4</v>
      </c>
      <c r="I34" s="315"/>
      <c r="J34" s="278"/>
      <c r="K34" s="281">
        <v>0.25</v>
      </c>
      <c r="L34" s="282">
        <f>G34*K34</f>
        <v>446.6</v>
      </c>
      <c r="M34" s="281">
        <v>0.25</v>
      </c>
      <c r="N34" s="282">
        <f>M34*G34</f>
        <v>446.6</v>
      </c>
      <c r="O34" s="281">
        <v>0.5</v>
      </c>
      <c r="P34" s="282">
        <f>G34*O34</f>
        <v>893.2</v>
      </c>
      <c r="Q34" s="279"/>
      <c r="R34" s="280"/>
      <c r="S34" s="277"/>
      <c r="T34" s="278"/>
      <c r="U34" s="277"/>
      <c r="V34" s="278"/>
      <c r="W34" s="277"/>
      <c r="X34" s="278"/>
      <c r="Y34" s="277"/>
      <c r="Z34" s="278"/>
      <c r="AA34" s="277"/>
      <c r="AB34" s="278"/>
      <c r="AC34" s="278"/>
      <c r="AD34" s="278"/>
      <c r="AE34" s="278"/>
      <c r="AF34" s="278"/>
      <c r="AG34" s="281">
        <f t="shared" si="6"/>
        <v>1</v>
      </c>
      <c r="AH34" s="308">
        <f t="shared" si="6"/>
        <v>1786.4</v>
      </c>
    </row>
    <row r="35" spans="1:34" ht="24">
      <c r="A35" s="457" t="s">
        <v>319</v>
      </c>
      <c r="B35" s="83" t="s">
        <v>64</v>
      </c>
      <c r="C35" s="84" t="s">
        <v>445</v>
      </c>
      <c r="D35" s="85" t="s">
        <v>63</v>
      </c>
      <c r="E35" s="86">
        <f>ORÇAMENTO!E35</f>
        <v>73</v>
      </c>
      <c r="F35" s="87">
        <f>ORÇAMENTO!F35</f>
        <v>9.82</v>
      </c>
      <c r="G35" s="458">
        <f t="shared" si="7"/>
        <v>716.86</v>
      </c>
      <c r="I35" s="315"/>
      <c r="J35" s="278"/>
      <c r="K35" s="283">
        <v>0.25</v>
      </c>
      <c r="L35" s="284">
        <f>G35*K35</f>
        <v>179.215</v>
      </c>
      <c r="M35" s="283">
        <v>0.25</v>
      </c>
      <c r="N35" s="284">
        <f>M35*G35</f>
        <v>179.215</v>
      </c>
      <c r="O35" s="283">
        <v>0.5</v>
      </c>
      <c r="P35" s="284">
        <f>G35*O35</f>
        <v>358.43</v>
      </c>
      <c r="Q35" s="279"/>
      <c r="R35" s="280"/>
      <c r="S35" s="277"/>
      <c r="T35" s="278"/>
      <c r="U35" s="277"/>
      <c r="V35" s="278"/>
      <c r="W35" s="279"/>
      <c r="X35" s="280"/>
      <c r="Y35" s="277"/>
      <c r="Z35" s="278"/>
      <c r="AA35" s="277"/>
      <c r="AB35" s="278"/>
      <c r="AC35" s="278"/>
      <c r="AD35" s="278"/>
      <c r="AE35" s="278"/>
      <c r="AF35" s="278"/>
      <c r="AG35" s="283">
        <f t="shared" si="6"/>
        <v>1</v>
      </c>
      <c r="AH35" s="309">
        <f t="shared" si="6"/>
        <v>716.86</v>
      </c>
    </row>
    <row r="36" spans="1:34" ht="36">
      <c r="A36" s="457" t="s">
        <v>320</v>
      </c>
      <c r="B36" s="83">
        <v>73548</v>
      </c>
      <c r="C36" s="84" t="s">
        <v>153</v>
      </c>
      <c r="D36" s="85" t="s">
        <v>22</v>
      </c>
      <c r="E36" s="86">
        <f>ORÇAMENTO!E36</f>
        <v>0.2</v>
      </c>
      <c r="F36" s="87">
        <f>ORÇAMENTO!F36</f>
        <v>479.13</v>
      </c>
      <c r="G36" s="458">
        <f t="shared" si="7"/>
        <v>95.826000000000008</v>
      </c>
      <c r="I36" s="307"/>
      <c r="J36" s="280"/>
      <c r="K36" s="279"/>
      <c r="L36" s="280"/>
      <c r="M36" s="279"/>
      <c r="N36" s="280"/>
      <c r="O36" s="281">
        <v>0.5</v>
      </c>
      <c r="P36" s="282">
        <f>O36*G36</f>
        <v>47.913000000000004</v>
      </c>
      <c r="Q36" s="281">
        <v>0.5</v>
      </c>
      <c r="R36" s="282">
        <f>Q36*G36</f>
        <v>47.913000000000004</v>
      </c>
      <c r="S36" s="279"/>
      <c r="T36" s="280"/>
      <c r="U36" s="279"/>
      <c r="V36" s="280"/>
      <c r="W36" s="279"/>
      <c r="X36" s="280"/>
      <c r="Y36" s="279"/>
      <c r="Z36" s="280"/>
      <c r="AA36" s="279"/>
      <c r="AB36" s="280"/>
      <c r="AC36" s="280"/>
      <c r="AD36" s="280"/>
      <c r="AE36" s="280"/>
      <c r="AF36" s="280"/>
      <c r="AG36" s="281">
        <f t="shared" si="6"/>
        <v>1</v>
      </c>
      <c r="AH36" s="308">
        <f t="shared" si="6"/>
        <v>95.826000000000008</v>
      </c>
    </row>
    <row r="37" spans="1:34" ht="24">
      <c r="A37" s="457" t="s">
        <v>321</v>
      </c>
      <c r="B37" s="83" t="s">
        <v>70</v>
      </c>
      <c r="C37" s="84" t="s">
        <v>69</v>
      </c>
      <c r="D37" s="85" t="s">
        <v>25</v>
      </c>
      <c r="E37" s="86">
        <f>ORÇAMENTO!E37</f>
        <v>19.8</v>
      </c>
      <c r="F37" s="87">
        <f>ORÇAMENTO!F37</f>
        <v>7.97</v>
      </c>
      <c r="G37" s="458">
        <f t="shared" si="7"/>
        <v>157.80600000000001</v>
      </c>
      <c r="I37" s="315"/>
      <c r="J37" s="278"/>
      <c r="K37" s="279"/>
      <c r="L37" s="280"/>
      <c r="M37" s="295"/>
      <c r="N37" s="296"/>
      <c r="O37" s="283">
        <v>0.5</v>
      </c>
      <c r="P37" s="284">
        <f>O37*G37</f>
        <v>78.903000000000006</v>
      </c>
      <c r="Q37" s="283">
        <v>0.5</v>
      </c>
      <c r="R37" s="284">
        <f>Q37*G37</f>
        <v>78.903000000000006</v>
      </c>
      <c r="S37" s="279"/>
      <c r="T37" s="280"/>
      <c r="U37" s="277"/>
      <c r="V37" s="278"/>
      <c r="W37" s="277"/>
      <c r="X37" s="278"/>
      <c r="Y37" s="277"/>
      <c r="Z37" s="278"/>
      <c r="AA37" s="277"/>
      <c r="AB37" s="278"/>
      <c r="AC37" s="278"/>
      <c r="AD37" s="278"/>
      <c r="AE37" s="278"/>
      <c r="AF37" s="278"/>
      <c r="AG37" s="283">
        <f t="shared" si="6"/>
        <v>1</v>
      </c>
      <c r="AH37" s="309">
        <f t="shared" si="6"/>
        <v>157.80600000000001</v>
      </c>
    </row>
    <row r="38" spans="1:34" ht="24">
      <c r="A38" s="460">
        <v>3</v>
      </c>
      <c r="B38" s="143"/>
      <c r="C38" s="123" t="s">
        <v>129</v>
      </c>
      <c r="D38" s="117"/>
      <c r="E38" s="118"/>
      <c r="F38" s="119"/>
      <c r="G38" s="461"/>
      <c r="I38" s="638" t="s">
        <v>129</v>
      </c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639"/>
      <c r="AC38" s="639"/>
      <c r="AD38" s="639"/>
      <c r="AE38" s="639"/>
      <c r="AF38" s="640"/>
      <c r="AG38" s="297"/>
      <c r="AH38" s="316"/>
    </row>
    <row r="39" spans="1:34" ht="24">
      <c r="A39" s="462" t="s">
        <v>27</v>
      </c>
      <c r="B39" s="83" t="s">
        <v>185</v>
      </c>
      <c r="C39" s="84" t="s">
        <v>184</v>
      </c>
      <c r="D39" s="85" t="s">
        <v>25</v>
      </c>
      <c r="E39" s="86">
        <f>ORÇAMENTO!E39</f>
        <v>90.24</v>
      </c>
      <c r="F39" s="87">
        <f>ORÇAMENTO!F39</f>
        <v>16.366</v>
      </c>
      <c r="G39" s="463">
        <f t="shared" ref="G39:G52" si="8">E39*F39</f>
        <v>1476.8678399999999</v>
      </c>
      <c r="I39" s="307"/>
      <c r="J39" s="280"/>
      <c r="K39" s="279"/>
      <c r="L39" s="280"/>
      <c r="M39" s="279"/>
      <c r="N39" s="280"/>
      <c r="O39" s="279"/>
      <c r="P39" s="280"/>
      <c r="Q39" s="279"/>
      <c r="R39" s="280"/>
      <c r="S39" s="279"/>
      <c r="T39" s="280"/>
      <c r="U39" s="281">
        <v>1</v>
      </c>
      <c r="V39" s="282">
        <f t="shared" ref="V39:V52" si="9">U39*G39</f>
        <v>1476.8678399999999</v>
      </c>
      <c r="W39" s="279"/>
      <c r="X39" s="280"/>
      <c r="Y39" s="279"/>
      <c r="Z39" s="280"/>
      <c r="AA39" s="279"/>
      <c r="AB39" s="280"/>
      <c r="AC39" s="280"/>
      <c r="AD39" s="280"/>
      <c r="AE39" s="280"/>
      <c r="AF39" s="280"/>
      <c r="AG39" s="281">
        <f t="shared" ref="AG39:AH52" si="10">I39+K39+M39+O39+Q39+S39+U39+W39+Y39+AA39</f>
        <v>1</v>
      </c>
      <c r="AH39" s="308">
        <f t="shared" si="10"/>
        <v>1476.8678399999999</v>
      </c>
    </row>
    <row r="40" spans="1:34" ht="36">
      <c r="A40" s="462" t="s">
        <v>28</v>
      </c>
      <c r="B40" s="83" t="s">
        <v>106</v>
      </c>
      <c r="C40" s="84" t="s">
        <v>206</v>
      </c>
      <c r="D40" s="85" t="s">
        <v>63</v>
      </c>
      <c r="E40" s="86">
        <f>ORÇAMENTO!E40</f>
        <v>1164</v>
      </c>
      <c r="F40" s="87">
        <f>ORÇAMENTO!F40</f>
        <v>16.896660000000001</v>
      </c>
      <c r="G40" s="463">
        <f t="shared" si="8"/>
        <v>19667.712240000001</v>
      </c>
      <c r="I40" s="315"/>
      <c r="J40" s="278"/>
      <c r="K40" s="277"/>
      <c r="L40" s="278"/>
      <c r="M40" s="285"/>
      <c r="N40" s="286"/>
      <c r="O40" s="279"/>
      <c r="P40" s="280"/>
      <c r="Q40" s="277"/>
      <c r="R40" s="278"/>
      <c r="S40" s="283">
        <v>0.5</v>
      </c>
      <c r="T40" s="284">
        <f t="shared" ref="T40:T47" si="11">S40*G40</f>
        <v>9833.8561200000004</v>
      </c>
      <c r="U40" s="283">
        <v>0.5</v>
      </c>
      <c r="V40" s="284">
        <f t="shared" si="9"/>
        <v>9833.8561200000004</v>
      </c>
      <c r="W40" s="277"/>
      <c r="X40" s="278"/>
      <c r="Y40" s="277"/>
      <c r="Z40" s="278"/>
      <c r="AA40" s="279"/>
      <c r="AB40" s="280"/>
      <c r="AC40" s="280"/>
      <c r="AD40" s="280"/>
      <c r="AE40" s="280"/>
      <c r="AF40" s="280"/>
      <c r="AG40" s="283">
        <f t="shared" si="10"/>
        <v>1</v>
      </c>
      <c r="AH40" s="309">
        <f t="shared" si="10"/>
        <v>19667.712240000001</v>
      </c>
    </row>
    <row r="41" spans="1:34">
      <c r="A41" s="462" t="s">
        <v>49</v>
      </c>
      <c r="B41" s="83" t="s">
        <v>113</v>
      </c>
      <c r="C41" s="84" t="s">
        <v>118</v>
      </c>
      <c r="D41" s="85" t="s">
        <v>63</v>
      </c>
      <c r="E41" s="86">
        <f>ORÇAMENTO!E41</f>
        <v>95.76</v>
      </c>
      <c r="F41" s="87">
        <f>ORÇAMENTO!F41</f>
        <v>6.9345000000000008</v>
      </c>
      <c r="G41" s="463">
        <f t="shared" si="8"/>
        <v>664.04772000000014</v>
      </c>
      <c r="I41" s="307"/>
      <c r="J41" s="280"/>
      <c r="K41" s="279"/>
      <c r="L41" s="280"/>
      <c r="M41" s="279"/>
      <c r="N41" s="280"/>
      <c r="O41" s="279"/>
      <c r="P41" s="280"/>
      <c r="Q41" s="279"/>
      <c r="R41" s="280"/>
      <c r="S41" s="281">
        <v>0.5</v>
      </c>
      <c r="T41" s="282">
        <f t="shared" si="11"/>
        <v>332.02386000000007</v>
      </c>
      <c r="U41" s="281">
        <v>0.5</v>
      </c>
      <c r="V41" s="298">
        <f t="shared" si="9"/>
        <v>332.02386000000007</v>
      </c>
      <c r="W41" s="279"/>
      <c r="X41" s="280"/>
      <c r="Y41" s="279"/>
      <c r="Z41" s="280"/>
      <c r="AA41" s="279"/>
      <c r="AB41" s="280"/>
      <c r="AC41" s="280"/>
      <c r="AD41" s="280"/>
      <c r="AE41" s="280"/>
      <c r="AF41" s="280"/>
      <c r="AG41" s="281">
        <f t="shared" si="10"/>
        <v>1</v>
      </c>
      <c r="AH41" s="308">
        <f t="shared" si="10"/>
        <v>664.04772000000014</v>
      </c>
    </row>
    <row r="42" spans="1:34">
      <c r="A42" s="462" t="s">
        <v>50</v>
      </c>
      <c r="B42" s="83" t="s">
        <v>124</v>
      </c>
      <c r="C42" s="84" t="s">
        <v>117</v>
      </c>
      <c r="D42" s="85" t="s">
        <v>63</v>
      </c>
      <c r="E42" s="86">
        <f>ORÇAMENTO!E42</f>
        <v>239.28</v>
      </c>
      <c r="F42" s="87">
        <f>ORÇAMENTO!F42</f>
        <v>7.8782999999999994</v>
      </c>
      <c r="G42" s="463">
        <f t="shared" si="8"/>
        <v>1885.1196239999999</v>
      </c>
      <c r="I42" s="307"/>
      <c r="J42" s="280"/>
      <c r="K42" s="279"/>
      <c r="L42" s="280"/>
      <c r="M42" s="279"/>
      <c r="N42" s="280"/>
      <c r="O42" s="279"/>
      <c r="P42" s="280"/>
      <c r="Q42" s="279"/>
      <c r="R42" s="280"/>
      <c r="S42" s="283">
        <v>0.5</v>
      </c>
      <c r="T42" s="284">
        <f t="shared" si="11"/>
        <v>942.55981199999997</v>
      </c>
      <c r="U42" s="283">
        <v>0.5</v>
      </c>
      <c r="V42" s="284">
        <f t="shared" si="9"/>
        <v>942.55981199999997</v>
      </c>
      <c r="W42" s="279"/>
      <c r="X42" s="280"/>
      <c r="Y42" s="279"/>
      <c r="Z42" s="280"/>
      <c r="AA42" s="279"/>
      <c r="AB42" s="280"/>
      <c r="AC42" s="280"/>
      <c r="AD42" s="280"/>
      <c r="AE42" s="280"/>
      <c r="AF42" s="280"/>
      <c r="AG42" s="279">
        <f t="shared" si="10"/>
        <v>1</v>
      </c>
      <c r="AH42" s="317">
        <f t="shared" si="10"/>
        <v>1885.1196239999999</v>
      </c>
    </row>
    <row r="43" spans="1:34" ht="24">
      <c r="A43" s="462" t="s">
        <v>51</v>
      </c>
      <c r="B43" s="83" t="s">
        <v>125</v>
      </c>
      <c r="C43" s="84" t="s">
        <v>122</v>
      </c>
      <c r="D43" s="85" t="s">
        <v>63</v>
      </c>
      <c r="E43" s="86">
        <f>ORÇAMENTO!E43</f>
        <v>387.6</v>
      </c>
      <c r="F43" s="87">
        <f>ORÇAMENTO!F43</f>
        <v>12.317880000000001</v>
      </c>
      <c r="G43" s="463">
        <f t="shared" si="8"/>
        <v>4774.4102880000009</v>
      </c>
      <c r="I43" s="307"/>
      <c r="J43" s="280"/>
      <c r="K43" s="279"/>
      <c r="L43" s="280"/>
      <c r="M43" s="279"/>
      <c r="N43" s="280"/>
      <c r="O43" s="279"/>
      <c r="P43" s="280"/>
      <c r="Q43" s="279"/>
      <c r="R43" s="280"/>
      <c r="S43" s="281">
        <v>0.5</v>
      </c>
      <c r="T43" s="282">
        <f t="shared" si="11"/>
        <v>2387.2051440000005</v>
      </c>
      <c r="U43" s="281">
        <v>0.5</v>
      </c>
      <c r="V43" s="298">
        <f t="shared" si="9"/>
        <v>2387.2051440000005</v>
      </c>
      <c r="W43" s="277"/>
      <c r="X43" s="278"/>
      <c r="Y43" s="277"/>
      <c r="Z43" s="278"/>
      <c r="AA43" s="277"/>
      <c r="AB43" s="278"/>
      <c r="AC43" s="278"/>
      <c r="AD43" s="278"/>
      <c r="AE43" s="278"/>
      <c r="AF43" s="278"/>
      <c r="AG43" s="281">
        <f t="shared" si="10"/>
        <v>1</v>
      </c>
      <c r="AH43" s="308">
        <f t="shared" si="10"/>
        <v>4774.4102880000009</v>
      </c>
    </row>
    <row r="44" spans="1:34">
      <c r="A44" s="462" t="s">
        <v>29</v>
      </c>
      <c r="B44" s="83" t="s">
        <v>126</v>
      </c>
      <c r="C44" s="84" t="s">
        <v>121</v>
      </c>
      <c r="D44" s="85" t="s">
        <v>63</v>
      </c>
      <c r="E44" s="86">
        <f>ORÇAMENTO!E44</f>
        <v>54</v>
      </c>
      <c r="F44" s="87">
        <f>ORÇAMENTO!F44</f>
        <v>6.9321000000000002</v>
      </c>
      <c r="G44" s="463">
        <f t="shared" si="8"/>
        <v>374.33339999999998</v>
      </c>
      <c r="I44" s="307"/>
      <c r="J44" s="280"/>
      <c r="K44" s="279"/>
      <c r="L44" s="280"/>
      <c r="M44" s="279"/>
      <c r="N44" s="280"/>
      <c r="O44" s="279"/>
      <c r="P44" s="280"/>
      <c r="Q44" s="279"/>
      <c r="R44" s="280"/>
      <c r="S44" s="283">
        <v>0.5</v>
      </c>
      <c r="T44" s="284">
        <f t="shared" si="11"/>
        <v>187.16669999999999</v>
      </c>
      <c r="U44" s="283">
        <v>0.5</v>
      </c>
      <c r="V44" s="284">
        <f t="shared" si="9"/>
        <v>187.16669999999999</v>
      </c>
      <c r="W44" s="277"/>
      <c r="X44" s="278"/>
      <c r="Y44" s="277"/>
      <c r="Z44" s="278"/>
      <c r="AA44" s="277"/>
      <c r="AB44" s="278"/>
      <c r="AC44" s="278"/>
      <c r="AD44" s="278"/>
      <c r="AE44" s="278"/>
      <c r="AF44" s="278"/>
      <c r="AG44" s="283">
        <f t="shared" si="10"/>
        <v>1</v>
      </c>
      <c r="AH44" s="309">
        <f t="shared" si="10"/>
        <v>374.33339999999998</v>
      </c>
    </row>
    <row r="45" spans="1:34" ht="24">
      <c r="A45" s="462" t="s">
        <v>30</v>
      </c>
      <c r="B45" s="83">
        <v>6391</v>
      </c>
      <c r="C45" s="84" t="s">
        <v>448</v>
      </c>
      <c r="D45" s="85" t="s">
        <v>26</v>
      </c>
      <c r="E45" s="86">
        <f>ORÇAMENTO!E45</f>
        <v>19.2</v>
      </c>
      <c r="F45" s="87">
        <f>ORÇAMENTO!F45</f>
        <v>128.59</v>
      </c>
      <c r="G45" s="463">
        <f t="shared" si="8"/>
        <v>2468.9279999999999</v>
      </c>
      <c r="I45" s="307"/>
      <c r="J45" s="280"/>
      <c r="K45" s="279"/>
      <c r="L45" s="280"/>
      <c r="M45" s="279"/>
      <c r="N45" s="280"/>
      <c r="O45" s="279"/>
      <c r="P45" s="280"/>
      <c r="Q45" s="279"/>
      <c r="R45" s="280"/>
      <c r="S45" s="281">
        <v>0.5</v>
      </c>
      <c r="T45" s="282">
        <f t="shared" si="11"/>
        <v>1234.4639999999999</v>
      </c>
      <c r="U45" s="281">
        <v>0.5</v>
      </c>
      <c r="V45" s="282">
        <f t="shared" si="9"/>
        <v>1234.4639999999999</v>
      </c>
      <c r="W45" s="277"/>
      <c r="X45" s="278"/>
      <c r="Y45" s="277"/>
      <c r="Z45" s="278"/>
      <c r="AA45" s="277"/>
      <c r="AB45" s="278"/>
      <c r="AC45" s="278"/>
      <c r="AD45" s="278"/>
      <c r="AE45" s="278"/>
      <c r="AF45" s="278"/>
      <c r="AG45" s="281">
        <f t="shared" si="10"/>
        <v>1</v>
      </c>
      <c r="AH45" s="308">
        <f t="shared" si="10"/>
        <v>2468.9279999999999</v>
      </c>
    </row>
    <row r="46" spans="1:34" ht="24">
      <c r="A46" s="462" t="s">
        <v>323</v>
      </c>
      <c r="B46" s="83">
        <v>11963</v>
      </c>
      <c r="C46" s="84" t="s">
        <v>127</v>
      </c>
      <c r="D46" s="85" t="s">
        <v>128</v>
      </c>
      <c r="E46" s="86">
        <f>ORÇAMENTO!E46</f>
        <v>24</v>
      </c>
      <c r="F46" s="87">
        <f>ORÇAMENTO!F46</f>
        <v>5.0199999999999996</v>
      </c>
      <c r="G46" s="463">
        <f t="shared" si="8"/>
        <v>120.47999999999999</v>
      </c>
      <c r="I46" s="307"/>
      <c r="J46" s="280"/>
      <c r="K46" s="279"/>
      <c r="L46" s="280"/>
      <c r="M46" s="279"/>
      <c r="N46" s="280"/>
      <c r="O46" s="279"/>
      <c r="P46" s="280"/>
      <c r="Q46" s="279"/>
      <c r="R46" s="280"/>
      <c r="S46" s="283">
        <v>0.5</v>
      </c>
      <c r="T46" s="284">
        <f t="shared" si="11"/>
        <v>60.239999999999995</v>
      </c>
      <c r="U46" s="283">
        <v>0.5</v>
      </c>
      <c r="V46" s="284">
        <f t="shared" si="9"/>
        <v>60.239999999999995</v>
      </c>
      <c r="W46" s="277"/>
      <c r="X46" s="278"/>
      <c r="Y46" s="277"/>
      <c r="Z46" s="278"/>
      <c r="AA46" s="277"/>
      <c r="AB46" s="278"/>
      <c r="AC46" s="278"/>
      <c r="AD46" s="278"/>
      <c r="AE46" s="278"/>
      <c r="AF46" s="278"/>
      <c r="AG46" s="283">
        <f t="shared" si="10"/>
        <v>1</v>
      </c>
      <c r="AH46" s="309">
        <f t="shared" si="10"/>
        <v>120.47999999999999</v>
      </c>
    </row>
    <row r="47" spans="1:34" ht="36">
      <c r="A47" s="462" t="s">
        <v>324</v>
      </c>
      <c r="B47" s="83">
        <v>83736</v>
      </c>
      <c r="C47" s="84" t="s">
        <v>139</v>
      </c>
      <c r="D47" s="85" t="s">
        <v>25</v>
      </c>
      <c r="E47" s="86">
        <f>ORÇAMENTO!E47</f>
        <v>5</v>
      </c>
      <c r="F47" s="87">
        <f>ORÇAMENTO!F47</f>
        <v>172.9</v>
      </c>
      <c r="G47" s="463">
        <f t="shared" si="8"/>
        <v>864.5</v>
      </c>
      <c r="I47" s="307"/>
      <c r="J47" s="280"/>
      <c r="K47" s="279"/>
      <c r="L47" s="280"/>
      <c r="M47" s="279"/>
      <c r="N47" s="280"/>
      <c r="O47" s="279"/>
      <c r="P47" s="280"/>
      <c r="Q47" s="279"/>
      <c r="R47" s="280"/>
      <c r="S47" s="281">
        <v>0.5</v>
      </c>
      <c r="T47" s="282">
        <f t="shared" si="11"/>
        <v>432.25</v>
      </c>
      <c r="U47" s="281">
        <v>0.5</v>
      </c>
      <c r="V47" s="282">
        <f t="shared" si="9"/>
        <v>432.25</v>
      </c>
      <c r="W47" s="277"/>
      <c r="X47" s="278"/>
      <c r="Y47" s="277"/>
      <c r="Z47" s="278"/>
      <c r="AA47" s="277"/>
      <c r="AB47" s="278"/>
      <c r="AC47" s="278"/>
      <c r="AD47" s="278"/>
      <c r="AE47" s="278"/>
      <c r="AF47" s="278"/>
      <c r="AG47" s="281">
        <f t="shared" si="10"/>
        <v>1</v>
      </c>
      <c r="AH47" s="308">
        <f t="shared" si="10"/>
        <v>864.5</v>
      </c>
    </row>
    <row r="48" spans="1:34">
      <c r="A48" s="462" t="s">
        <v>325</v>
      </c>
      <c r="B48" s="83" t="s">
        <v>135</v>
      </c>
      <c r="C48" s="84" t="s">
        <v>146</v>
      </c>
      <c r="D48" s="85" t="s">
        <v>63</v>
      </c>
      <c r="E48" s="86">
        <f>ORÇAMENTO!E48</f>
        <v>120</v>
      </c>
      <c r="F48" s="87">
        <f>ORÇAMENTO!F48</f>
        <v>10.19272</v>
      </c>
      <c r="G48" s="463">
        <f t="shared" si="8"/>
        <v>1223.1263999999999</v>
      </c>
      <c r="I48" s="318"/>
      <c r="J48" s="299"/>
      <c r="K48" s="279"/>
      <c r="L48" s="280"/>
      <c r="M48" s="279"/>
      <c r="N48" s="280"/>
      <c r="O48" s="279"/>
      <c r="P48" s="280"/>
      <c r="Q48" s="279"/>
      <c r="R48" s="280"/>
      <c r="S48" s="277"/>
      <c r="T48" s="278"/>
      <c r="U48" s="283">
        <v>1</v>
      </c>
      <c r="V48" s="284">
        <f t="shared" si="9"/>
        <v>1223.1263999999999</v>
      </c>
      <c r="W48" s="277"/>
      <c r="X48" s="278"/>
      <c r="Y48" s="277"/>
      <c r="Z48" s="278"/>
      <c r="AA48" s="277"/>
      <c r="AB48" s="278"/>
      <c r="AC48" s="278"/>
      <c r="AD48" s="278"/>
      <c r="AE48" s="278"/>
      <c r="AF48" s="278"/>
      <c r="AG48" s="283">
        <f t="shared" si="10"/>
        <v>1</v>
      </c>
      <c r="AH48" s="309">
        <f t="shared" si="10"/>
        <v>1223.1263999999999</v>
      </c>
    </row>
    <row r="49" spans="1:34">
      <c r="A49" s="462" t="s">
        <v>326</v>
      </c>
      <c r="B49" s="83" t="s">
        <v>210</v>
      </c>
      <c r="C49" s="84" t="s">
        <v>234</v>
      </c>
      <c r="D49" s="85" t="s">
        <v>128</v>
      </c>
      <c r="E49" s="86">
        <f>ORÇAMENTO!E49</f>
        <v>24</v>
      </c>
      <c r="F49" s="87">
        <f>ORÇAMENTO!F49</f>
        <v>10.199999999999999</v>
      </c>
      <c r="G49" s="463">
        <f t="shared" si="8"/>
        <v>244.79999999999998</v>
      </c>
      <c r="I49" s="307"/>
      <c r="J49" s="280"/>
      <c r="K49" s="279"/>
      <c r="L49" s="280"/>
      <c r="M49" s="279"/>
      <c r="N49" s="280"/>
      <c r="O49" s="279"/>
      <c r="P49" s="280"/>
      <c r="Q49" s="279"/>
      <c r="R49" s="280"/>
      <c r="S49" s="281">
        <v>0.5</v>
      </c>
      <c r="T49" s="282">
        <f>S49*G49</f>
        <v>122.39999999999999</v>
      </c>
      <c r="U49" s="281">
        <v>0.5</v>
      </c>
      <c r="V49" s="282">
        <f t="shared" si="9"/>
        <v>122.39999999999999</v>
      </c>
      <c r="W49" s="277"/>
      <c r="X49" s="278"/>
      <c r="Y49" s="277"/>
      <c r="Z49" s="278"/>
      <c r="AA49" s="277"/>
      <c r="AB49" s="278"/>
      <c r="AC49" s="278"/>
      <c r="AD49" s="278"/>
      <c r="AE49" s="278"/>
      <c r="AF49" s="278"/>
      <c r="AG49" s="281">
        <f t="shared" si="10"/>
        <v>1</v>
      </c>
      <c r="AH49" s="308">
        <f t="shared" si="10"/>
        <v>244.79999999999998</v>
      </c>
    </row>
    <row r="50" spans="1:34">
      <c r="A50" s="462" t="s">
        <v>327</v>
      </c>
      <c r="B50" s="83">
        <v>11971</v>
      </c>
      <c r="C50" s="84" t="s">
        <v>238</v>
      </c>
      <c r="D50" s="85" t="s">
        <v>128</v>
      </c>
      <c r="E50" s="86">
        <f>ORÇAMENTO!E50</f>
        <v>24</v>
      </c>
      <c r="F50" s="87">
        <f>ORÇAMENTO!F50</f>
        <v>2.2400000000000002</v>
      </c>
      <c r="G50" s="463">
        <f t="shared" si="8"/>
        <v>53.760000000000005</v>
      </c>
      <c r="I50" s="307"/>
      <c r="J50" s="280"/>
      <c r="K50" s="279"/>
      <c r="L50" s="280"/>
      <c r="M50" s="279"/>
      <c r="N50" s="280"/>
      <c r="O50" s="279"/>
      <c r="P50" s="280"/>
      <c r="Q50" s="279"/>
      <c r="R50" s="280"/>
      <c r="S50" s="277"/>
      <c r="T50" s="278"/>
      <c r="U50" s="283">
        <v>1</v>
      </c>
      <c r="V50" s="284">
        <f t="shared" si="9"/>
        <v>53.760000000000005</v>
      </c>
      <c r="W50" s="277"/>
      <c r="X50" s="278"/>
      <c r="Y50" s="277"/>
      <c r="Z50" s="278"/>
      <c r="AA50" s="277"/>
      <c r="AB50" s="278"/>
      <c r="AC50" s="278"/>
      <c r="AD50" s="278"/>
      <c r="AE50" s="278"/>
      <c r="AF50" s="278"/>
      <c r="AG50" s="283">
        <f t="shared" si="10"/>
        <v>1</v>
      </c>
      <c r="AH50" s="309">
        <f t="shared" si="10"/>
        <v>53.760000000000005</v>
      </c>
    </row>
    <row r="51" spans="1:34" ht="24">
      <c r="A51" s="462" t="s">
        <v>349</v>
      </c>
      <c r="B51" s="83">
        <v>4004</v>
      </c>
      <c r="C51" s="84" t="s">
        <v>232</v>
      </c>
      <c r="D51" s="85" t="s">
        <v>22</v>
      </c>
      <c r="E51" s="86">
        <f>ORÇAMENTO!E51</f>
        <v>0.19200000000000006</v>
      </c>
      <c r="F51" s="87">
        <f>ORÇAMENTO!F51</f>
        <v>1325</v>
      </c>
      <c r="G51" s="463">
        <f t="shared" si="8"/>
        <v>254.40000000000009</v>
      </c>
      <c r="I51" s="307"/>
      <c r="J51" s="280"/>
      <c r="K51" s="279"/>
      <c r="L51" s="280"/>
      <c r="M51" s="279"/>
      <c r="N51" s="280"/>
      <c r="O51" s="279"/>
      <c r="P51" s="280"/>
      <c r="Q51" s="279"/>
      <c r="R51" s="280"/>
      <c r="S51" s="277"/>
      <c r="T51" s="278"/>
      <c r="U51" s="281">
        <v>1</v>
      </c>
      <c r="V51" s="282">
        <f t="shared" si="9"/>
        <v>254.40000000000009</v>
      </c>
      <c r="W51" s="277"/>
      <c r="X51" s="278"/>
      <c r="Y51" s="277"/>
      <c r="Z51" s="278"/>
      <c r="AA51" s="277"/>
      <c r="AB51" s="278"/>
      <c r="AC51" s="278"/>
      <c r="AD51" s="278"/>
      <c r="AE51" s="278"/>
      <c r="AF51" s="278"/>
      <c r="AG51" s="281">
        <f t="shared" si="10"/>
        <v>1</v>
      </c>
      <c r="AH51" s="308">
        <f t="shared" si="10"/>
        <v>254.40000000000009</v>
      </c>
    </row>
    <row r="52" spans="1:34">
      <c r="A52" s="462" t="s">
        <v>350</v>
      </c>
      <c r="B52" s="83" t="s">
        <v>210</v>
      </c>
      <c r="C52" s="84" t="s">
        <v>434</v>
      </c>
      <c r="D52" s="85" t="s">
        <v>128</v>
      </c>
      <c r="E52" s="86">
        <f>ORÇAMENTO!E52</f>
        <v>12</v>
      </c>
      <c r="F52" s="87">
        <f>ORÇAMENTO!F52</f>
        <v>280.58</v>
      </c>
      <c r="G52" s="463">
        <f t="shared" si="8"/>
        <v>3366.96</v>
      </c>
      <c r="I52" s="307"/>
      <c r="J52" s="280"/>
      <c r="K52" s="279"/>
      <c r="L52" s="280"/>
      <c r="M52" s="279"/>
      <c r="N52" s="280"/>
      <c r="O52" s="279"/>
      <c r="P52" s="280"/>
      <c r="Q52" s="279"/>
      <c r="R52" s="280"/>
      <c r="S52" s="277"/>
      <c r="T52" s="278"/>
      <c r="U52" s="283">
        <v>1</v>
      </c>
      <c r="V52" s="284">
        <f t="shared" si="9"/>
        <v>3366.96</v>
      </c>
      <c r="W52" s="277"/>
      <c r="X52" s="278"/>
      <c r="Y52" s="277"/>
      <c r="Z52" s="278"/>
      <c r="AA52" s="277"/>
      <c r="AB52" s="278"/>
      <c r="AC52" s="278"/>
      <c r="AD52" s="278"/>
      <c r="AE52" s="278"/>
      <c r="AF52" s="278"/>
      <c r="AG52" s="283">
        <f t="shared" si="10"/>
        <v>1</v>
      </c>
      <c r="AH52" s="309">
        <f t="shared" si="10"/>
        <v>3366.96</v>
      </c>
    </row>
    <row r="53" spans="1:34" ht="24">
      <c r="A53" s="464">
        <v>4</v>
      </c>
      <c r="B53" s="115"/>
      <c r="C53" s="123" t="s">
        <v>476</v>
      </c>
      <c r="D53" s="117"/>
      <c r="E53" s="118"/>
      <c r="F53" s="119"/>
      <c r="G53" s="461"/>
      <c r="I53" s="638" t="s">
        <v>476</v>
      </c>
      <c r="J53" s="639"/>
      <c r="K53" s="639"/>
      <c r="L53" s="639"/>
      <c r="M53" s="639"/>
      <c r="N53" s="639"/>
      <c r="O53" s="639"/>
      <c r="P53" s="639"/>
      <c r="Q53" s="639"/>
      <c r="R53" s="639"/>
      <c r="S53" s="639"/>
      <c r="T53" s="639"/>
      <c r="U53" s="639"/>
      <c r="V53" s="639"/>
      <c r="W53" s="639"/>
      <c r="X53" s="639"/>
      <c r="Y53" s="639"/>
      <c r="Z53" s="639"/>
      <c r="AA53" s="639"/>
      <c r="AB53" s="639"/>
      <c r="AC53" s="639"/>
      <c r="AD53" s="639"/>
      <c r="AE53" s="639"/>
      <c r="AF53" s="640"/>
      <c r="AG53" s="301"/>
      <c r="AH53" s="319"/>
    </row>
    <row r="54" spans="1:34" ht="36">
      <c r="A54" s="462" t="s">
        <v>52</v>
      </c>
      <c r="B54" s="83">
        <v>97647</v>
      </c>
      <c r="C54" s="84" t="s">
        <v>191</v>
      </c>
      <c r="D54" s="85" t="s">
        <v>25</v>
      </c>
      <c r="E54" s="86">
        <f>ORÇAMENTO!E54</f>
        <v>191.78</v>
      </c>
      <c r="F54" s="87">
        <f>ORÇAMENTO!F54</f>
        <v>2.2200000000000002</v>
      </c>
      <c r="G54" s="458">
        <f t="shared" ref="G54:G66" si="12">E54*F54</f>
        <v>425.75160000000005</v>
      </c>
      <c r="I54" s="281">
        <v>1</v>
      </c>
      <c r="J54" s="282">
        <f>I54*G54</f>
        <v>425.75160000000005</v>
      </c>
      <c r="K54" s="279"/>
      <c r="L54" s="280"/>
      <c r="M54" s="279"/>
      <c r="N54" s="280"/>
      <c r="O54" s="279"/>
      <c r="P54" s="280"/>
      <c r="Q54" s="279"/>
      <c r="R54" s="280"/>
      <c r="S54" s="279"/>
      <c r="T54" s="280"/>
      <c r="U54" s="279"/>
      <c r="V54" s="280"/>
      <c r="W54" s="279"/>
      <c r="X54" s="280"/>
      <c r="Y54" s="279"/>
      <c r="Z54" s="280"/>
      <c r="AA54" s="279"/>
      <c r="AB54" s="280"/>
      <c r="AC54" s="280"/>
      <c r="AD54" s="280"/>
      <c r="AE54" s="280"/>
      <c r="AF54" s="280"/>
      <c r="AG54" s="281">
        <f t="shared" ref="AG54:AH66" si="13">I54+K54+M54+O54+Q54+S54+U54+W54+Y54+AA54</f>
        <v>1</v>
      </c>
      <c r="AH54" s="308">
        <f t="shared" si="13"/>
        <v>425.75160000000005</v>
      </c>
    </row>
    <row r="55" spans="1:34" ht="24">
      <c r="A55" s="462" t="s">
        <v>53</v>
      </c>
      <c r="B55" s="353">
        <v>94207</v>
      </c>
      <c r="C55" s="84" t="s">
        <v>449</v>
      </c>
      <c r="D55" s="85" t="s">
        <v>25</v>
      </c>
      <c r="E55" s="86">
        <f>ORÇAMENTO!E55</f>
        <v>191.78</v>
      </c>
      <c r="F55" s="87">
        <f>ORÇAMENTO!F55</f>
        <v>30.48</v>
      </c>
      <c r="G55" s="458">
        <f t="shared" si="12"/>
        <v>5845.4544000000005</v>
      </c>
      <c r="I55" s="307"/>
      <c r="J55" s="280"/>
      <c r="K55" s="279"/>
      <c r="L55" s="280"/>
      <c r="M55" s="279"/>
      <c r="N55" s="280"/>
      <c r="O55" s="279"/>
      <c r="P55" s="280"/>
      <c r="Q55" s="279"/>
      <c r="R55" s="280"/>
      <c r="S55" s="279"/>
      <c r="T55" s="280"/>
      <c r="U55" s="279"/>
      <c r="V55" s="280"/>
      <c r="W55" s="279"/>
      <c r="X55" s="280"/>
      <c r="Y55" s="283">
        <v>1</v>
      </c>
      <c r="Z55" s="284">
        <f>Y55*G55</f>
        <v>5845.4544000000005</v>
      </c>
      <c r="AA55" s="279"/>
      <c r="AB55" s="280"/>
      <c r="AC55" s="280"/>
      <c r="AD55" s="280"/>
      <c r="AE55" s="280"/>
      <c r="AF55" s="280"/>
      <c r="AG55" s="283">
        <f t="shared" si="13"/>
        <v>1</v>
      </c>
      <c r="AH55" s="309">
        <f t="shared" si="13"/>
        <v>5845.4544000000005</v>
      </c>
    </row>
    <row r="56" spans="1:34" ht="36">
      <c r="A56" s="462" t="s">
        <v>328</v>
      </c>
      <c r="B56" s="83">
        <v>97625</v>
      </c>
      <c r="C56" s="84" t="s">
        <v>193</v>
      </c>
      <c r="D56" s="85" t="s">
        <v>22</v>
      </c>
      <c r="E56" s="86">
        <f>ORÇAMENTO!E56</f>
        <v>67.600000000000009</v>
      </c>
      <c r="F56" s="87">
        <f>ORÇAMENTO!F56</f>
        <v>36.08</v>
      </c>
      <c r="G56" s="458">
        <f t="shared" si="12"/>
        <v>2439.0080000000003</v>
      </c>
      <c r="I56" s="281">
        <v>0.5</v>
      </c>
      <c r="J56" s="282">
        <f>G56*I56</f>
        <v>1219.5040000000001</v>
      </c>
      <c r="K56" s="281">
        <v>0.5</v>
      </c>
      <c r="L56" s="282">
        <f>G56*K56</f>
        <v>1219.5040000000001</v>
      </c>
      <c r="M56" s="279"/>
      <c r="N56" s="280"/>
      <c r="O56" s="279"/>
      <c r="P56" s="280"/>
      <c r="Q56" s="279"/>
      <c r="R56" s="280"/>
      <c r="S56" s="279"/>
      <c r="T56" s="280"/>
      <c r="U56" s="279"/>
      <c r="V56" s="280"/>
      <c r="W56" s="279"/>
      <c r="X56" s="280"/>
      <c r="Y56" s="279"/>
      <c r="Z56" s="280"/>
      <c r="AA56" s="279"/>
      <c r="AB56" s="280"/>
      <c r="AC56" s="280"/>
      <c r="AD56" s="280"/>
      <c r="AE56" s="280"/>
      <c r="AF56" s="280"/>
      <c r="AG56" s="281">
        <f t="shared" si="13"/>
        <v>1</v>
      </c>
      <c r="AH56" s="308">
        <f t="shared" si="13"/>
        <v>2439.0080000000003</v>
      </c>
    </row>
    <row r="57" spans="1:34" ht="36">
      <c r="A57" s="462" t="s">
        <v>329</v>
      </c>
      <c r="B57" s="83">
        <v>97627</v>
      </c>
      <c r="C57" s="84" t="s">
        <v>466</v>
      </c>
      <c r="D57" s="85" t="s">
        <v>22</v>
      </c>
      <c r="E57" s="86">
        <f>ORÇAMENTO!E57</f>
        <v>7.2</v>
      </c>
      <c r="F57" s="87">
        <f>ORÇAMENTO!F57</f>
        <v>168.68</v>
      </c>
      <c r="G57" s="458">
        <f t="shared" si="12"/>
        <v>1214.4960000000001</v>
      </c>
      <c r="I57" s="283">
        <v>0.5</v>
      </c>
      <c r="J57" s="284">
        <f>G57*I57</f>
        <v>607.24800000000005</v>
      </c>
      <c r="K57" s="283">
        <v>0.5</v>
      </c>
      <c r="L57" s="284">
        <f>G57*K57</f>
        <v>607.24800000000005</v>
      </c>
      <c r="M57" s="279"/>
      <c r="N57" s="280"/>
      <c r="O57" s="279"/>
      <c r="P57" s="280"/>
      <c r="Q57" s="279"/>
      <c r="R57" s="280"/>
      <c r="S57" s="279"/>
      <c r="T57" s="280"/>
      <c r="U57" s="279"/>
      <c r="V57" s="280"/>
      <c r="W57" s="279"/>
      <c r="X57" s="280"/>
      <c r="Y57" s="279"/>
      <c r="Z57" s="280"/>
      <c r="AA57" s="279"/>
      <c r="AB57" s="280"/>
      <c r="AC57" s="280"/>
      <c r="AD57" s="280"/>
      <c r="AE57" s="280"/>
      <c r="AF57" s="280"/>
      <c r="AG57" s="283">
        <f t="shared" si="13"/>
        <v>1</v>
      </c>
      <c r="AH57" s="309">
        <f t="shared" si="13"/>
        <v>1214.4960000000001</v>
      </c>
    </row>
    <row r="58" spans="1:34" ht="24">
      <c r="A58" s="462" t="s">
        <v>330</v>
      </c>
      <c r="B58" s="83" t="s">
        <v>518</v>
      </c>
      <c r="C58" s="84" t="s">
        <v>467</v>
      </c>
      <c r="D58" s="85" t="s">
        <v>25</v>
      </c>
      <c r="E58" s="86">
        <f>ORÇAMENTO!E58</f>
        <v>336.96</v>
      </c>
      <c r="F58" s="87">
        <f>ORÇAMENTO!F58</f>
        <v>46.278411500000004</v>
      </c>
      <c r="G58" s="458">
        <f t="shared" si="12"/>
        <v>15593.97353904</v>
      </c>
      <c r="I58" s="307"/>
      <c r="J58" s="280"/>
      <c r="K58" s="279"/>
      <c r="L58" s="280"/>
      <c r="M58" s="279"/>
      <c r="N58" s="280"/>
      <c r="O58" s="279"/>
      <c r="P58" s="280"/>
      <c r="Q58" s="279"/>
      <c r="R58" s="280"/>
      <c r="S58" s="279"/>
      <c r="T58" s="280"/>
      <c r="U58" s="279"/>
      <c r="V58" s="280"/>
      <c r="W58" s="281">
        <v>0.5</v>
      </c>
      <c r="X58" s="282">
        <f>W58*G58</f>
        <v>7796.9867695200001</v>
      </c>
      <c r="Y58" s="281">
        <v>0.5</v>
      </c>
      <c r="Z58" s="282">
        <f>Y58*G58</f>
        <v>7796.9867695200001</v>
      </c>
      <c r="AA58" s="279"/>
      <c r="AB58" s="280"/>
      <c r="AC58" s="280"/>
      <c r="AD58" s="280"/>
      <c r="AE58" s="280"/>
      <c r="AF58" s="280"/>
      <c r="AG58" s="281">
        <f t="shared" si="13"/>
        <v>1</v>
      </c>
      <c r="AH58" s="308">
        <f t="shared" si="13"/>
        <v>15593.97353904</v>
      </c>
    </row>
    <row r="59" spans="1:34" ht="36">
      <c r="A59" s="462" t="s">
        <v>331</v>
      </c>
      <c r="B59" s="83" t="s">
        <v>474</v>
      </c>
      <c r="C59" s="84" t="s">
        <v>475</v>
      </c>
      <c r="D59" s="85" t="s">
        <v>26</v>
      </c>
      <c r="E59" s="86">
        <f>ORÇAMENTO!E59</f>
        <v>280.8</v>
      </c>
      <c r="F59" s="87">
        <f>ORÇAMENTO!F59</f>
        <v>18.21</v>
      </c>
      <c r="G59" s="458">
        <f t="shared" si="12"/>
        <v>5113.3680000000004</v>
      </c>
      <c r="I59" s="307"/>
      <c r="J59" s="280"/>
      <c r="K59" s="279"/>
      <c r="L59" s="280"/>
      <c r="M59" s="279"/>
      <c r="N59" s="280"/>
      <c r="O59" s="279"/>
      <c r="P59" s="280"/>
      <c r="Q59" s="279"/>
      <c r="R59" s="280"/>
      <c r="S59" s="279"/>
      <c r="T59" s="280"/>
      <c r="U59" s="279"/>
      <c r="V59" s="280"/>
      <c r="W59" s="283">
        <v>0.5</v>
      </c>
      <c r="X59" s="284">
        <f>W59*G59</f>
        <v>2556.6840000000002</v>
      </c>
      <c r="Y59" s="283">
        <v>0.5</v>
      </c>
      <c r="Z59" s="284">
        <f>Y59*G59</f>
        <v>2556.6840000000002</v>
      </c>
      <c r="AA59" s="279"/>
      <c r="AB59" s="280"/>
      <c r="AC59" s="280"/>
      <c r="AD59" s="280"/>
      <c r="AE59" s="280"/>
      <c r="AF59" s="280"/>
      <c r="AG59" s="283">
        <f t="shared" si="13"/>
        <v>1</v>
      </c>
      <c r="AH59" s="309">
        <f t="shared" si="13"/>
        <v>5113.3680000000004</v>
      </c>
    </row>
    <row r="60" spans="1:34" ht="24">
      <c r="A60" s="462" t="s">
        <v>332</v>
      </c>
      <c r="B60" s="83" t="s">
        <v>209</v>
      </c>
      <c r="C60" s="84" t="s">
        <v>202</v>
      </c>
      <c r="D60" s="85" t="s">
        <v>63</v>
      </c>
      <c r="E60" s="86">
        <f>ORÇAMENTO!E60</f>
        <v>1150.92</v>
      </c>
      <c r="F60" s="87">
        <f>ORÇAMENTO!F60</f>
        <v>6.011496779388084</v>
      </c>
      <c r="G60" s="458">
        <f t="shared" si="12"/>
        <v>6918.7518733333345</v>
      </c>
      <c r="I60" s="307"/>
      <c r="J60" s="280"/>
      <c r="K60" s="279"/>
      <c r="L60" s="280"/>
      <c r="M60" s="279"/>
      <c r="N60" s="280"/>
      <c r="O60" s="279"/>
      <c r="P60" s="280"/>
      <c r="Q60" s="279"/>
      <c r="R60" s="280"/>
      <c r="S60" s="279"/>
      <c r="T60" s="280"/>
      <c r="U60" s="279"/>
      <c r="V60" s="280"/>
      <c r="W60" s="281">
        <v>0.5</v>
      </c>
      <c r="X60" s="282">
        <f t="shared" ref="X60:X66" si="14">W60*G60</f>
        <v>3459.3759366666673</v>
      </c>
      <c r="Y60" s="281">
        <v>0.5</v>
      </c>
      <c r="Z60" s="282">
        <f t="shared" ref="Z60:Z66" si="15">Y60*G60</f>
        <v>3459.3759366666673</v>
      </c>
      <c r="AA60" s="279"/>
      <c r="AB60" s="280"/>
      <c r="AC60" s="280"/>
      <c r="AD60" s="280"/>
      <c r="AE60" s="280"/>
      <c r="AF60" s="280"/>
      <c r="AG60" s="281">
        <f t="shared" si="13"/>
        <v>1</v>
      </c>
      <c r="AH60" s="308">
        <f t="shared" si="13"/>
        <v>6918.7518733333345</v>
      </c>
    </row>
    <row r="61" spans="1:34" ht="24">
      <c r="A61" s="462" t="s">
        <v>333</v>
      </c>
      <c r="B61" s="83" t="s">
        <v>213</v>
      </c>
      <c r="C61" s="84" t="s">
        <v>212</v>
      </c>
      <c r="D61" s="85" t="s">
        <v>63</v>
      </c>
      <c r="E61" s="86">
        <f>ORÇAMENTO!E61</f>
        <v>1206</v>
      </c>
      <c r="F61" s="87">
        <f>ORÇAMENTO!F61</f>
        <v>6.6455100000000007</v>
      </c>
      <c r="G61" s="458">
        <f t="shared" si="12"/>
        <v>8014.4850600000009</v>
      </c>
      <c r="I61" s="307"/>
      <c r="J61" s="280"/>
      <c r="K61" s="279"/>
      <c r="L61" s="280"/>
      <c r="M61" s="279"/>
      <c r="N61" s="280"/>
      <c r="O61" s="279"/>
      <c r="P61" s="280"/>
      <c r="Q61" s="279"/>
      <c r="R61" s="280"/>
      <c r="S61" s="279"/>
      <c r="T61" s="280"/>
      <c r="U61" s="279"/>
      <c r="V61" s="280"/>
      <c r="W61" s="283">
        <v>0.5</v>
      </c>
      <c r="X61" s="284">
        <f t="shared" si="14"/>
        <v>4007.2425300000004</v>
      </c>
      <c r="Y61" s="283">
        <v>0.5</v>
      </c>
      <c r="Z61" s="284">
        <f t="shared" si="15"/>
        <v>4007.2425300000004</v>
      </c>
      <c r="AA61" s="279"/>
      <c r="AB61" s="280"/>
      <c r="AC61" s="280"/>
      <c r="AD61" s="280"/>
      <c r="AE61" s="280"/>
      <c r="AF61" s="280"/>
      <c r="AG61" s="283">
        <f t="shared" si="13"/>
        <v>1</v>
      </c>
      <c r="AH61" s="309">
        <f t="shared" si="13"/>
        <v>8014.4850600000009</v>
      </c>
    </row>
    <row r="62" spans="1:34" ht="24">
      <c r="A62" s="462" t="s">
        <v>334</v>
      </c>
      <c r="B62" s="83" t="s">
        <v>221</v>
      </c>
      <c r="C62" s="84" t="s">
        <v>214</v>
      </c>
      <c r="D62" s="85" t="s">
        <v>63</v>
      </c>
      <c r="E62" s="86">
        <f>ORÇAMENTO!E62</f>
        <v>173.4</v>
      </c>
      <c r="F62" s="87">
        <f>ORÇAMENTO!F62</f>
        <v>6.6915000000000004</v>
      </c>
      <c r="G62" s="458">
        <f t="shared" si="12"/>
        <v>1160.3061</v>
      </c>
      <c r="I62" s="320"/>
      <c r="J62" s="303"/>
      <c r="K62" s="302"/>
      <c r="L62" s="303"/>
      <c r="M62" s="302"/>
      <c r="N62" s="303"/>
      <c r="O62" s="302"/>
      <c r="P62" s="303"/>
      <c r="Q62" s="279"/>
      <c r="R62" s="280"/>
      <c r="S62" s="279"/>
      <c r="T62" s="280"/>
      <c r="U62" s="279"/>
      <c r="V62" s="280"/>
      <c r="W62" s="281">
        <v>0.5</v>
      </c>
      <c r="X62" s="282">
        <f t="shared" si="14"/>
        <v>580.15305000000001</v>
      </c>
      <c r="Y62" s="281">
        <v>0.5</v>
      </c>
      <c r="Z62" s="282">
        <f t="shared" si="15"/>
        <v>580.15305000000001</v>
      </c>
      <c r="AA62" s="279"/>
      <c r="AB62" s="280"/>
      <c r="AC62" s="280"/>
      <c r="AD62" s="280"/>
      <c r="AE62" s="280"/>
      <c r="AF62" s="280"/>
      <c r="AG62" s="281">
        <f t="shared" si="13"/>
        <v>1</v>
      </c>
      <c r="AH62" s="308">
        <f t="shared" si="13"/>
        <v>1160.3061</v>
      </c>
    </row>
    <row r="63" spans="1:34">
      <c r="A63" s="462" t="s">
        <v>351</v>
      </c>
      <c r="B63" s="83" t="s">
        <v>224</v>
      </c>
      <c r="C63" s="84" t="s">
        <v>225</v>
      </c>
      <c r="D63" s="85" t="s">
        <v>63</v>
      </c>
      <c r="E63" s="86">
        <f>ORÇAMENTO!E63</f>
        <v>74.8</v>
      </c>
      <c r="F63" s="87">
        <f>ORÇAMENTO!F63</f>
        <v>6.4184999999999999</v>
      </c>
      <c r="G63" s="458">
        <f t="shared" si="12"/>
        <v>480.10379999999998</v>
      </c>
      <c r="I63" s="307"/>
      <c r="J63" s="280"/>
      <c r="K63" s="279"/>
      <c r="L63" s="280"/>
      <c r="M63" s="279"/>
      <c r="N63" s="280"/>
      <c r="O63" s="279"/>
      <c r="P63" s="280"/>
      <c r="Q63" s="279"/>
      <c r="R63" s="280"/>
      <c r="S63" s="279"/>
      <c r="T63" s="280"/>
      <c r="U63" s="279"/>
      <c r="V63" s="280"/>
      <c r="W63" s="283">
        <v>0.5</v>
      </c>
      <c r="X63" s="284">
        <f t="shared" si="14"/>
        <v>240.05189999999999</v>
      </c>
      <c r="Y63" s="283">
        <v>0.5</v>
      </c>
      <c r="Z63" s="284">
        <f t="shared" si="15"/>
        <v>240.05189999999999</v>
      </c>
      <c r="AA63" s="279"/>
      <c r="AB63" s="280"/>
      <c r="AC63" s="280"/>
      <c r="AD63" s="280"/>
      <c r="AE63" s="280"/>
      <c r="AF63" s="280"/>
      <c r="AG63" s="283">
        <f t="shared" si="13"/>
        <v>1</v>
      </c>
      <c r="AH63" s="309">
        <f t="shared" si="13"/>
        <v>480.10379999999998</v>
      </c>
    </row>
    <row r="64" spans="1:34" ht="24">
      <c r="A64" s="462" t="s">
        <v>352</v>
      </c>
      <c r="B64" s="83">
        <v>11964</v>
      </c>
      <c r="C64" s="84" t="s">
        <v>226</v>
      </c>
      <c r="D64" s="85" t="s">
        <v>128</v>
      </c>
      <c r="E64" s="86">
        <f>ORÇAMENTO!E64</f>
        <v>140</v>
      </c>
      <c r="F64" s="87">
        <f>ORÇAMENTO!F64</f>
        <v>1.26</v>
      </c>
      <c r="G64" s="458">
        <f t="shared" si="12"/>
        <v>176.4</v>
      </c>
      <c r="I64" s="307"/>
      <c r="J64" s="280"/>
      <c r="K64" s="279"/>
      <c r="L64" s="280"/>
      <c r="M64" s="279"/>
      <c r="N64" s="280"/>
      <c r="O64" s="279"/>
      <c r="P64" s="280"/>
      <c r="Q64" s="279"/>
      <c r="R64" s="280"/>
      <c r="S64" s="279"/>
      <c r="T64" s="280"/>
      <c r="U64" s="279"/>
      <c r="V64" s="280"/>
      <c r="W64" s="281">
        <v>0.5</v>
      </c>
      <c r="X64" s="282">
        <f t="shared" si="14"/>
        <v>88.2</v>
      </c>
      <c r="Y64" s="281">
        <v>0.5</v>
      </c>
      <c r="Z64" s="282">
        <f t="shared" si="15"/>
        <v>88.2</v>
      </c>
      <c r="AA64" s="277"/>
      <c r="AB64" s="278"/>
      <c r="AC64" s="278"/>
      <c r="AD64" s="278"/>
      <c r="AE64" s="278"/>
      <c r="AF64" s="278"/>
      <c r="AG64" s="281">
        <f t="shared" si="13"/>
        <v>1</v>
      </c>
      <c r="AH64" s="308">
        <f t="shared" si="13"/>
        <v>176.4</v>
      </c>
    </row>
    <row r="65" spans="1:34" ht="36">
      <c r="A65" s="462" t="s">
        <v>353</v>
      </c>
      <c r="B65" s="83">
        <v>83736</v>
      </c>
      <c r="C65" s="84" t="s">
        <v>139</v>
      </c>
      <c r="D65" s="85" t="s">
        <v>25</v>
      </c>
      <c r="E65" s="86">
        <f>ORÇAMENTO!E65</f>
        <v>5</v>
      </c>
      <c r="F65" s="87">
        <f>ORÇAMENTO!F65</f>
        <v>172.9</v>
      </c>
      <c r="G65" s="458">
        <f t="shared" si="12"/>
        <v>864.5</v>
      </c>
      <c r="I65" s="307"/>
      <c r="J65" s="280"/>
      <c r="K65" s="279"/>
      <c r="L65" s="280"/>
      <c r="M65" s="279"/>
      <c r="N65" s="280"/>
      <c r="O65" s="279"/>
      <c r="P65" s="280"/>
      <c r="Q65" s="279"/>
      <c r="R65" s="280"/>
      <c r="S65" s="279"/>
      <c r="T65" s="280"/>
      <c r="U65" s="279"/>
      <c r="V65" s="280"/>
      <c r="W65" s="283">
        <v>0.5</v>
      </c>
      <c r="X65" s="284">
        <f t="shared" si="14"/>
        <v>432.25</v>
      </c>
      <c r="Y65" s="283">
        <v>0.5</v>
      </c>
      <c r="Z65" s="284">
        <f t="shared" si="15"/>
        <v>432.25</v>
      </c>
      <c r="AA65" s="277"/>
      <c r="AB65" s="278"/>
      <c r="AC65" s="278"/>
      <c r="AD65" s="278"/>
      <c r="AE65" s="278"/>
      <c r="AF65" s="278"/>
      <c r="AG65" s="283">
        <f t="shared" si="13"/>
        <v>1</v>
      </c>
      <c r="AH65" s="309">
        <f t="shared" si="13"/>
        <v>864.5</v>
      </c>
    </row>
    <row r="66" spans="1:34">
      <c r="A66" s="462" t="s">
        <v>524</v>
      </c>
      <c r="B66" s="83" t="s">
        <v>477</v>
      </c>
      <c r="C66" s="84" t="s">
        <v>229</v>
      </c>
      <c r="D66" s="85" t="s">
        <v>230</v>
      </c>
      <c r="E66" s="86">
        <f>ORÇAMENTO!E66</f>
        <v>5</v>
      </c>
      <c r="F66" s="87">
        <f>ORÇAMENTO!F66</f>
        <v>24.89</v>
      </c>
      <c r="G66" s="458">
        <f t="shared" si="12"/>
        <v>124.45</v>
      </c>
      <c r="I66" s="307"/>
      <c r="J66" s="280"/>
      <c r="K66" s="279"/>
      <c r="L66" s="280"/>
      <c r="M66" s="279"/>
      <c r="N66" s="280"/>
      <c r="O66" s="279"/>
      <c r="P66" s="280"/>
      <c r="Q66" s="279"/>
      <c r="R66" s="280"/>
      <c r="S66" s="279"/>
      <c r="T66" s="280"/>
      <c r="U66" s="279"/>
      <c r="V66" s="280"/>
      <c r="W66" s="281">
        <v>0.5</v>
      </c>
      <c r="X66" s="282">
        <f t="shared" si="14"/>
        <v>62.225000000000001</v>
      </c>
      <c r="Y66" s="281">
        <v>0.5</v>
      </c>
      <c r="Z66" s="282">
        <f t="shared" si="15"/>
        <v>62.225000000000001</v>
      </c>
      <c r="AA66" s="277"/>
      <c r="AB66" s="278"/>
      <c r="AC66" s="278"/>
      <c r="AD66" s="278"/>
      <c r="AE66" s="278"/>
      <c r="AF66" s="278"/>
      <c r="AG66" s="281">
        <f t="shared" si="13"/>
        <v>1</v>
      </c>
      <c r="AH66" s="308">
        <f t="shared" si="13"/>
        <v>124.45</v>
      </c>
    </row>
    <row r="67" spans="1:34">
      <c r="A67" s="230">
        <v>5</v>
      </c>
      <c r="B67" s="226"/>
      <c r="C67" s="227" t="s">
        <v>31</v>
      </c>
      <c r="D67" s="225"/>
      <c r="E67" s="232"/>
      <c r="F67" s="237"/>
      <c r="G67" s="236"/>
      <c r="I67" s="638" t="s">
        <v>31</v>
      </c>
      <c r="J67" s="639"/>
      <c r="K67" s="639"/>
      <c r="L67" s="639"/>
      <c r="M67" s="639"/>
      <c r="N67" s="639"/>
      <c r="O67" s="639"/>
      <c r="P67" s="639"/>
      <c r="Q67" s="639"/>
      <c r="R67" s="639"/>
      <c r="S67" s="639"/>
      <c r="T67" s="639"/>
      <c r="U67" s="639"/>
      <c r="V67" s="639"/>
      <c r="W67" s="639"/>
      <c r="X67" s="639"/>
      <c r="Y67" s="639"/>
      <c r="Z67" s="639"/>
      <c r="AA67" s="639"/>
      <c r="AB67" s="639"/>
      <c r="AC67" s="639"/>
      <c r="AD67" s="639"/>
      <c r="AE67" s="639"/>
      <c r="AF67" s="640"/>
      <c r="AG67" s="300"/>
      <c r="AH67" s="319"/>
    </row>
    <row r="68" spans="1:34">
      <c r="A68" s="455" t="s">
        <v>579</v>
      </c>
      <c r="B68" s="90"/>
      <c r="C68" s="123" t="s">
        <v>275</v>
      </c>
      <c r="D68" s="117"/>
      <c r="E68" s="118"/>
      <c r="F68" s="119"/>
      <c r="G68" s="461"/>
      <c r="I68" s="638" t="s">
        <v>275</v>
      </c>
      <c r="J68" s="639"/>
      <c r="K68" s="639"/>
      <c r="L68" s="639"/>
      <c r="M68" s="639"/>
      <c r="N68" s="639"/>
      <c r="O68" s="639"/>
      <c r="P68" s="639"/>
      <c r="Q68" s="639"/>
      <c r="R68" s="639"/>
      <c r="S68" s="639"/>
      <c r="T68" s="639"/>
      <c r="U68" s="639"/>
      <c r="V68" s="639"/>
      <c r="W68" s="639"/>
      <c r="X68" s="639"/>
      <c r="Y68" s="639"/>
      <c r="Z68" s="639"/>
      <c r="AA68" s="639"/>
      <c r="AB68" s="639"/>
      <c r="AC68" s="639"/>
      <c r="AD68" s="639"/>
      <c r="AE68" s="639"/>
      <c r="AF68" s="640"/>
      <c r="AG68" s="300"/>
      <c r="AH68" s="319"/>
    </row>
    <row r="69" spans="1:34" ht="24">
      <c r="A69" s="457" t="s">
        <v>580</v>
      </c>
      <c r="B69" s="341" t="s">
        <v>478</v>
      </c>
      <c r="C69" s="343" t="s">
        <v>253</v>
      </c>
      <c r="D69" s="85" t="s">
        <v>26</v>
      </c>
      <c r="E69" s="86">
        <f>ORÇAMENTO!E69</f>
        <v>28.3</v>
      </c>
      <c r="F69" s="87">
        <f>ORÇAMENTO!F69</f>
        <v>98.87</v>
      </c>
      <c r="G69" s="458">
        <f t="shared" ref="G69:G77" si="16">E69*F69</f>
        <v>2798.0210000000002</v>
      </c>
      <c r="I69" s="321"/>
      <c r="J69" s="305"/>
      <c r="K69" s="304"/>
      <c r="L69" s="305"/>
      <c r="M69" s="279"/>
      <c r="N69" s="280"/>
      <c r="O69" s="279"/>
      <c r="P69" s="280"/>
      <c r="Q69" s="295"/>
      <c r="R69" s="296"/>
      <c r="S69" s="277"/>
      <c r="T69" s="278"/>
      <c r="U69" s="277"/>
      <c r="V69" s="278"/>
      <c r="W69" s="283">
        <v>0.5</v>
      </c>
      <c r="X69" s="284">
        <f>G69*W69</f>
        <v>1399.0105000000001</v>
      </c>
      <c r="Y69" s="283">
        <v>0.5</v>
      </c>
      <c r="Z69" s="284">
        <f>Y69*G69</f>
        <v>1399.0105000000001</v>
      </c>
      <c r="AA69" s="277"/>
      <c r="AB69" s="278"/>
      <c r="AC69" s="278"/>
      <c r="AD69" s="278"/>
      <c r="AE69" s="278"/>
      <c r="AF69" s="278"/>
      <c r="AG69" s="283">
        <f t="shared" ref="AG69:AH77" si="17">I69+K69+M69+O69+Q69+S69+U69+W69+Y69+AA69</f>
        <v>1</v>
      </c>
      <c r="AH69" s="309">
        <f t="shared" si="17"/>
        <v>2798.0210000000002</v>
      </c>
    </row>
    <row r="70" spans="1:34">
      <c r="A70" s="457" t="s">
        <v>581</v>
      </c>
      <c r="B70" s="349" t="s">
        <v>259</v>
      </c>
      <c r="C70" s="343" t="s">
        <v>252</v>
      </c>
      <c r="D70" s="85" t="s">
        <v>25</v>
      </c>
      <c r="E70" s="86">
        <f>ORÇAMENTO!E70</f>
        <v>96.22</v>
      </c>
      <c r="F70" s="87">
        <f>ORÇAMENTO!F70</f>
        <v>45.01</v>
      </c>
      <c r="G70" s="458">
        <f t="shared" si="16"/>
        <v>4330.8621999999996</v>
      </c>
      <c r="I70" s="321"/>
      <c r="J70" s="305"/>
      <c r="K70" s="304"/>
      <c r="L70" s="305"/>
      <c r="M70" s="279"/>
      <c r="N70" s="280"/>
      <c r="O70" s="279"/>
      <c r="P70" s="280"/>
      <c r="Q70" s="277"/>
      <c r="R70" s="278"/>
      <c r="S70" s="277"/>
      <c r="T70" s="278"/>
      <c r="U70" s="277"/>
      <c r="V70" s="278"/>
      <c r="W70" s="281">
        <v>0.5</v>
      </c>
      <c r="X70" s="282">
        <f>G70*W70</f>
        <v>2165.4310999999998</v>
      </c>
      <c r="Y70" s="281">
        <v>0.5</v>
      </c>
      <c r="Z70" s="282">
        <f>Y70*G70</f>
        <v>2165.4310999999998</v>
      </c>
      <c r="AA70" s="277"/>
      <c r="AB70" s="278"/>
      <c r="AC70" s="278"/>
      <c r="AD70" s="278"/>
      <c r="AE70" s="278"/>
      <c r="AF70" s="278"/>
      <c r="AG70" s="281">
        <f t="shared" si="17"/>
        <v>1</v>
      </c>
      <c r="AH70" s="308">
        <f t="shared" si="17"/>
        <v>4330.8621999999996</v>
      </c>
    </row>
    <row r="71" spans="1:34">
      <c r="A71" s="457" t="s">
        <v>582</v>
      </c>
      <c r="B71" s="341">
        <v>94263</v>
      </c>
      <c r="C71" s="343" t="s">
        <v>254</v>
      </c>
      <c r="D71" s="85" t="s">
        <v>26</v>
      </c>
      <c r="E71" s="86">
        <f>ORÇAMENTO!E71</f>
        <v>56.6</v>
      </c>
      <c r="F71" s="87">
        <f>ORÇAMENTO!F71</f>
        <v>20.59</v>
      </c>
      <c r="G71" s="458">
        <f t="shared" si="16"/>
        <v>1165.394</v>
      </c>
      <c r="I71" s="315"/>
      <c r="J71" s="278"/>
      <c r="K71" s="277"/>
      <c r="L71" s="278"/>
      <c r="M71" s="279"/>
      <c r="N71" s="280"/>
      <c r="O71" s="279"/>
      <c r="P71" s="280"/>
      <c r="Q71" s="295"/>
      <c r="R71" s="296"/>
      <c r="S71" s="295"/>
      <c r="T71" s="296"/>
      <c r="U71" s="277"/>
      <c r="V71" s="278"/>
      <c r="W71" s="283">
        <v>0.5</v>
      </c>
      <c r="X71" s="284">
        <f>G71*W71</f>
        <v>582.697</v>
      </c>
      <c r="Y71" s="283">
        <v>0.5</v>
      </c>
      <c r="Z71" s="284">
        <f>Y71*G71</f>
        <v>582.697</v>
      </c>
      <c r="AA71" s="277"/>
      <c r="AB71" s="278"/>
      <c r="AC71" s="278"/>
      <c r="AD71" s="278"/>
      <c r="AE71" s="278"/>
      <c r="AF71" s="278"/>
      <c r="AG71" s="283">
        <f t="shared" si="17"/>
        <v>1</v>
      </c>
      <c r="AH71" s="309">
        <f t="shared" si="17"/>
        <v>1165.394</v>
      </c>
    </row>
    <row r="72" spans="1:34" ht="22.5">
      <c r="A72" s="457" t="s">
        <v>583</v>
      </c>
      <c r="B72" s="83" t="s">
        <v>479</v>
      </c>
      <c r="C72" s="343" t="s">
        <v>276</v>
      </c>
      <c r="D72" s="85" t="s">
        <v>25</v>
      </c>
      <c r="E72" s="86">
        <f>ORÇAMENTO!E72</f>
        <v>1.5</v>
      </c>
      <c r="F72" s="87">
        <f>ORÇAMENTO!F72</f>
        <v>61.95</v>
      </c>
      <c r="G72" s="458">
        <f t="shared" si="16"/>
        <v>92.925000000000011</v>
      </c>
      <c r="I72" s="314"/>
      <c r="J72" s="286"/>
      <c r="K72" s="285"/>
      <c r="L72" s="286"/>
      <c r="M72" s="279"/>
      <c r="N72" s="280"/>
      <c r="O72" s="279"/>
      <c r="P72" s="280"/>
      <c r="Q72" s="295"/>
      <c r="R72" s="296"/>
      <c r="S72" s="295"/>
      <c r="T72" s="296"/>
      <c r="U72" s="285"/>
      <c r="V72" s="286"/>
      <c r="W72" s="285"/>
      <c r="X72" s="286"/>
      <c r="Y72" s="281">
        <v>1</v>
      </c>
      <c r="Z72" s="282">
        <f>Y72*G72</f>
        <v>92.925000000000011</v>
      </c>
      <c r="AA72" s="285"/>
      <c r="AB72" s="286"/>
      <c r="AC72" s="286"/>
      <c r="AD72" s="286"/>
      <c r="AE72" s="286"/>
      <c r="AF72" s="286"/>
      <c r="AG72" s="281">
        <f t="shared" si="17"/>
        <v>1</v>
      </c>
      <c r="AH72" s="308">
        <f t="shared" si="17"/>
        <v>92.925000000000011</v>
      </c>
    </row>
    <row r="73" spans="1:34">
      <c r="A73" s="457" t="s">
        <v>584</v>
      </c>
      <c r="B73" s="341" t="s">
        <v>258</v>
      </c>
      <c r="C73" s="343" t="s">
        <v>257</v>
      </c>
      <c r="D73" s="85" t="s">
        <v>25</v>
      </c>
      <c r="E73" s="86">
        <f>ORÇAMENTO!E73</f>
        <v>96.22</v>
      </c>
      <c r="F73" s="87">
        <f>ORÇAMENTO!F73</f>
        <v>16.28</v>
      </c>
      <c r="G73" s="458">
        <f t="shared" si="16"/>
        <v>1566.4616000000001</v>
      </c>
      <c r="I73" s="314"/>
      <c r="J73" s="286"/>
      <c r="K73" s="285"/>
      <c r="L73" s="286"/>
      <c r="M73" s="279"/>
      <c r="N73" s="280"/>
      <c r="O73" s="279"/>
      <c r="P73" s="280"/>
      <c r="Q73" s="295"/>
      <c r="R73" s="296"/>
      <c r="S73" s="295"/>
      <c r="T73" s="296"/>
      <c r="U73" s="285"/>
      <c r="V73" s="286"/>
      <c r="W73" s="285"/>
      <c r="X73" s="286"/>
      <c r="Y73" s="285"/>
      <c r="Z73" s="286"/>
      <c r="AA73" s="283">
        <v>1</v>
      </c>
      <c r="AB73" s="284">
        <f>AA73*G73</f>
        <v>1566.4616000000001</v>
      </c>
      <c r="AC73" s="280"/>
      <c r="AD73" s="280"/>
      <c r="AE73" s="280"/>
      <c r="AF73" s="280"/>
      <c r="AG73" s="283">
        <f t="shared" si="17"/>
        <v>1</v>
      </c>
      <c r="AH73" s="309">
        <f t="shared" si="17"/>
        <v>1566.4616000000001</v>
      </c>
    </row>
    <row r="74" spans="1:34" ht="60">
      <c r="A74" s="457" t="s">
        <v>585</v>
      </c>
      <c r="B74" s="341" t="s">
        <v>260</v>
      </c>
      <c r="C74" s="354" t="s">
        <v>261</v>
      </c>
      <c r="D74" s="85" t="s">
        <v>25</v>
      </c>
      <c r="E74" s="86">
        <f>ORÇAMENTO!E74</f>
        <v>33.4</v>
      </c>
      <c r="F74" s="87">
        <f>ORÇAMENTO!F74</f>
        <v>15.09</v>
      </c>
      <c r="G74" s="458">
        <f t="shared" si="16"/>
        <v>504.00599999999997</v>
      </c>
      <c r="I74" s="315"/>
      <c r="J74" s="278"/>
      <c r="K74" s="277"/>
      <c r="L74" s="278"/>
      <c r="M74" s="279"/>
      <c r="N74" s="280"/>
      <c r="O74" s="279"/>
      <c r="P74" s="280"/>
      <c r="Q74" s="277"/>
      <c r="R74" s="278"/>
      <c r="S74" s="277"/>
      <c r="T74" s="278"/>
      <c r="U74" s="277"/>
      <c r="V74" s="278"/>
      <c r="W74" s="279"/>
      <c r="X74" s="280"/>
      <c r="Y74" s="281">
        <v>1</v>
      </c>
      <c r="Z74" s="282">
        <f>Y74*G74</f>
        <v>504.00599999999997</v>
      </c>
      <c r="AA74" s="277"/>
      <c r="AB74" s="278"/>
      <c r="AC74" s="278"/>
      <c r="AD74" s="278"/>
      <c r="AE74" s="278"/>
      <c r="AF74" s="278"/>
      <c r="AG74" s="281">
        <f t="shared" si="17"/>
        <v>1</v>
      </c>
      <c r="AH74" s="308">
        <f t="shared" si="17"/>
        <v>504.00599999999997</v>
      </c>
    </row>
    <row r="75" spans="1:34" ht="24">
      <c r="A75" s="457" t="s">
        <v>586</v>
      </c>
      <c r="B75" s="341">
        <v>88415</v>
      </c>
      <c r="C75" s="354" t="s">
        <v>593</v>
      </c>
      <c r="D75" s="85" t="s">
        <v>25</v>
      </c>
      <c r="E75" s="86">
        <f>E77</f>
        <v>301.02</v>
      </c>
      <c r="F75" s="87">
        <f>ORÇAMENTO!F75</f>
        <v>2.23</v>
      </c>
      <c r="G75" s="458">
        <f t="shared" si="16"/>
        <v>671.27459999999996</v>
      </c>
      <c r="I75" s="315"/>
      <c r="J75" s="278"/>
      <c r="K75" s="277"/>
      <c r="L75" s="278"/>
      <c r="M75" s="279"/>
      <c r="N75" s="280"/>
      <c r="O75" s="279"/>
      <c r="P75" s="280"/>
      <c r="Q75" s="277"/>
      <c r="R75" s="278"/>
      <c r="S75" s="277"/>
      <c r="T75" s="278"/>
      <c r="U75" s="277"/>
      <c r="V75" s="278"/>
      <c r="W75" s="279"/>
      <c r="X75" s="280"/>
      <c r="Y75" s="496"/>
      <c r="Z75" s="497"/>
      <c r="AA75" s="494">
        <v>1</v>
      </c>
      <c r="AB75" s="495">
        <f>AA75*G75</f>
        <v>671.27459999999996</v>
      </c>
      <c r="AC75" s="278"/>
      <c r="AD75" s="278"/>
      <c r="AE75" s="278"/>
      <c r="AF75" s="278"/>
      <c r="AG75" s="283">
        <f t="shared" si="17"/>
        <v>1</v>
      </c>
      <c r="AH75" s="309">
        <f t="shared" si="17"/>
        <v>671.27459999999996</v>
      </c>
    </row>
    <row r="76" spans="1:34" ht="24">
      <c r="A76" s="457" t="s">
        <v>587</v>
      </c>
      <c r="B76" s="341">
        <v>88423</v>
      </c>
      <c r="C76" s="354" t="s">
        <v>285</v>
      </c>
      <c r="D76" s="85" t="s">
        <v>25</v>
      </c>
      <c r="E76" s="86">
        <f>ORÇAMENTO!E76</f>
        <v>814.5</v>
      </c>
      <c r="F76" s="87">
        <f>ORÇAMENTO!F76</f>
        <v>14.59</v>
      </c>
      <c r="G76" s="458">
        <f t="shared" si="16"/>
        <v>11883.555</v>
      </c>
      <c r="I76" s="315"/>
      <c r="J76" s="278"/>
      <c r="K76" s="277"/>
      <c r="L76" s="278"/>
      <c r="M76" s="277"/>
      <c r="N76" s="278"/>
      <c r="O76" s="277"/>
      <c r="P76" s="278"/>
      <c r="Q76" s="277"/>
      <c r="R76" s="278"/>
      <c r="S76" s="277"/>
      <c r="T76" s="278"/>
      <c r="U76" s="277"/>
      <c r="V76" s="278"/>
      <c r="W76" s="279"/>
      <c r="X76" s="280"/>
      <c r="Y76" s="281">
        <v>0.5</v>
      </c>
      <c r="Z76" s="282">
        <f>Y76*G76</f>
        <v>5941.7775000000001</v>
      </c>
      <c r="AA76" s="281">
        <v>0.5</v>
      </c>
      <c r="AB76" s="282">
        <f>AA76*G76</f>
        <v>5941.7775000000001</v>
      </c>
      <c r="AC76" s="280"/>
      <c r="AD76" s="280"/>
      <c r="AE76" s="280"/>
      <c r="AF76" s="280"/>
      <c r="AG76" s="281">
        <f t="shared" si="17"/>
        <v>1</v>
      </c>
      <c r="AH76" s="308">
        <f t="shared" si="17"/>
        <v>11883.555</v>
      </c>
    </row>
    <row r="77" spans="1:34" ht="36">
      <c r="A77" s="457" t="s">
        <v>592</v>
      </c>
      <c r="B77" s="341">
        <v>88423</v>
      </c>
      <c r="C77" s="343" t="s">
        <v>283</v>
      </c>
      <c r="D77" s="85" t="s">
        <v>25</v>
      </c>
      <c r="E77" s="86">
        <f>ORÇAMENTO!E77</f>
        <v>301.02</v>
      </c>
      <c r="F77" s="87">
        <f>ORÇAMENTO!F77</f>
        <v>14.59</v>
      </c>
      <c r="G77" s="458">
        <f t="shared" si="16"/>
        <v>4391.8818000000001</v>
      </c>
      <c r="I77" s="307"/>
      <c r="J77" s="280"/>
      <c r="K77" s="279"/>
      <c r="L77" s="280"/>
      <c r="M77" s="279"/>
      <c r="N77" s="280"/>
      <c r="O77" s="279"/>
      <c r="P77" s="280"/>
      <c r="Q77" s="279"/>
      <c r="R77" s="280"/>
      <c r="S77" s="279"/>
      <c r="T77" s="280"/>
      <c r="U77" s="279"/>
      <c r="V77" s="280"/>
      <c r="W77" s="279"/>
      <c r="X77" s="280"/>
      <c r="Y77" s="283">
        <v>0.5</v>
      </c>
      <c r="Z77" s="284">
        <f>Y77*G77</f>
        <v>2195.9409000000001</v>
      </c>
      <c r="AA77" s="283">
        <v>0.5</v>
      </c>
      <c r="AB77" s="284">
        <f>AA77*G77</f>
        <v>2195.9409000000001</v>
      </c>
      <c r="AC77" s="280"/>
      <c r="AD77" s="280"/>
      <c r="AE77" s="280"/>
      <c r="AF77" s="280"/>
      <c r="AG77" s="283">
        <f t="shared" si="17"/>
        <v>1</v>
      </c>
      <c r="AH77" s="309">
        <f t="shared" si="17"/>
        <v>4391.8818000000001</v>
      </c>
    </row>
    <row r="78" spans="1:34">
      <c r="A78" s="231">
        <v>6</v>
      </c>
      <c r="B78" s="234"/>
      <c r="C78" s="229" t="s">
        <v>33</v>
      </c>
      <c r="D78" s="228"/>
      <c r="E78" s="233"/>
      <c r="F78" s="238"/>
      <c r="G78" s="235"/>
      <c r="I78" s="638" t="s">
        <v>33</v>
      </c>
      <c r="J78" s="639"/>
      <c r="K78" s="639"/>
      <c r="L78" s="639"/>
      <c r="M78" s="639"/>
      <c r="N78" s="639"/>
      <c r="O78" s="639"/>
      <c r="P78" s="639"/>
      <c r="Q78" s="639"/>
      <c r="R78" s="639"/>
      <c r="S78" s="639"/>
      <c r="T78" s="639"/>
      <c r="U78" s="639"/>
      <c r="V78" s="639"/>
      <c r="W78" s="639"/>
      <c r="X78" s="639"/>
      <c r="Y78" s="639"/>
      <c r="Z78" s="639"/>
      <c r="AA78" s="639"/>
      <c r="AB78" s="639"/>
      <c r="AC78" s="639"/>
      <c r="AD78" s="639"/>
      <c r="AE78" s="639"/>
      <c r="AF78" s="640"/>
      <c r="AG78" s="300"/>
      <c r="AH78" s="319"/>
    </row>
    <row r="79" spans="1:34" ht="24">
      <c r="A79" s="457" t="s">
        <v>588</v>
      </c>
      <c r="B79" s="341">
        <v>85178</v>
      </c>
      <c r="C79" s="343" t="s">
        <v>413</v>
      </c>
      <c r="D79" s="85" t="s">
        <v>128</v>
      </c>
      <c r="E79" s="86">
        <f>ORÇAMENTO!E79</f>
        <v>10</v>
      </c>
      <c r="F79" s="87">
        <f>ORÇAMENTO!F79</f>
        <v>58.71</v>
      </c>
      <c r="G79" s="458">
        <f>E79*F79</f>
        <v>587.1</v>
      </c>
      <c r="I79" s="315"/>
      <c r="J79" s="280"/>
      <c r="K79" s="279"/>
      <c r="L79" s="280"/>
      <c r="M79" s="279"/>
      <c r="N79" s="280"/>
      <c r="O79" s="279"/>
      <c r="P79" s="280"/>
      <c r="Q79" s="279"/>
      <c r="R79" s="280"/>
      <c r="S79" s="279"/>
      <c r="T79" s="280"/>
      <c r="U79" s="279"/>
      <c r="V79" s="280"/>
      <c r="W79" s="279"/>
      <c r="X79" s="280"/>
      <c r="Y79" s="281">
        <v>1</v>
      </c>
      <c r="Z79" s="282">
        <f>G79*Y79</f>
        <v>587.1</v>
      </c>
      <c r="AA79" s="279"/>
      <c r="AB79" s="280"/>
      <c r="AC79" s="280"/>
      <c r="AD79" s="280"/>
      <c r="AE79" s="280"/>
      <c r="AF79" s="280"/>
      <c r="AG79" s="281">
        <f t="shared" ref="AG79:AH82" si="18">I79+K79+M79+O79+Q79+S79+U79+W79+Y79+AA79</f>
        <v>1</v>
      </c>
      <c r="AH79" s="308">
        <f t="shared" si="18"/>
        <v>587.1</v>
      </c>
    </row>
    <row r="80" spans="1:34" ht="36">
      <c r="A80" s="457" t="s">
        <v>416</v>
      </c>
      <c r="B80" s="355" t="s">
        <v>55</v>
      </c>
      <c r="C80" s="343" t="s">
        <v>414</v>
      </c>
      <c r="D80" s="85" t="s">
        <v>25</v>
      </c>
      <c r="E80" s="86">
        <f>ORÇAMENTO!E80</f>
        <v>195</v>
      </c>
      <c r="F80" s="87">
        <f>ORÇAMENTO!F80</f>
        <v>10.43</v>
      </c>
      <c r="G80" s="458">
        <f>E80*F80</f>
        <v>2033.85</v>
      </c>
      <c r="I80" s="315"/>
      <c r="J80" s="280"/>
      <c r="K80" s="279"/>
      <c r="L80" s="280"/>
      <c r="M80" s="279"/>
      <c r="N80" s="280"/>
      <c r="O80" s="279"/>
      <c r="P80" s="280"/>
      <c r="Q80" s="279"/>
      <c r="R80" s="280"/>
      <c r="S80" s="279"/>
      <c r="T80" s="280"/>
      <c r="U80" s="279"/>
      <c r="V80" s="280"/>
      <c r="W80" s="279"/>
      <c r="X80" s="280"/>
      <c r="Y80" s="283">
        <v>0.5</v>
      </c>
      <c r="Z80" s="284">
        <f>G80*Y80</f>
        <v>1016.925</v>
      </c>
      <c r="AA80" s="283">
        <v>0.5</v>
      </c>
      <c r="AB80" s="284">
        <f>G80*AA80</f>
        <v>1016.925</v>
      </c>
      <c r="AC80" s="280"/>
      <c r="AD80" s="280"/>
      <c r="AE80" s="280"/>
      <c r="AF80" s="280"/>
      <c r="AG80" s="283">
        <f t="shared" si="18"/>
        <v>1</v>
      </c>
      <c r="AH80" s="309">
        <f t="shared" si="18"/>
        <v>2033.85</v>
      </c>
    </row>
    <row r="81" spans="1:34">
      <c r="A81" s="455">
        <v>7</v>
      </c>
      <c r="B81" s="90"/>
      <c r="C81" s="123" t="s">
        <v>34</v>
      </c>
      <c r="D81" s="117"/>
      <c r="E81" s="118"/>
      <c r="F81" s="119"/>
      <c r="G81" s="461"/>
      <c r="I81" s="641" t="s">
        <v>34</v>
      </c>
      <c r="J81" s="642"/>
      <c r="K81" s="642"/>
      <c r="L81" s="642"/>
      <c r="M81" s="642"/>
      <c r="N81" s="642"/>
      <c r="O81" s="642"/>
      <c r="P81" s="642"/>
      <c r="Q81" s="642"/>
      <c r="R81" s="642"/>
      <c r="S81" s="642"/>
      <c r="T81" s="642"/>
      <c r="U81" s="642"/>
      <c r="V81" s="642"/>
      <c r="W81" s="642"/>
      <c r="X81" s="642"/>
      <c r="Y81" s="642"/>
      <c r="Z81" s="642"/>
      <c r="AA81" s="642"/>
      <c r="AB81" s="642"/>
      <c r="AC81" s="642"/>
      <c r="AD81" s="642"/>
      <c r="AE81" s="642"/>
      <c r="AF81" s="643"/>
      <c r="AG81" s="300"/>
      <c r="AH81" s="319"/>
    </row>
    <row r="82" spans="1:34" ht="24.75" thickBot="1">
      <c r="A82" s="457" t="s">
        <v>32</v>
      </c>
      <c r="B82" s="83">
        <v>9537</v>
      </c>
      <c r="C82" s="356" t="s">
        <v>419</v>
      </c>
      <c r="D82" s="85" t="s">
        <v>25</v>
      </c>
      <c r="E82" s="86">
        <f>ORÇAMENTO!E82</f>
        <v>980</v>
      </c>
      <c r="F82" s="87">
        <f>ORÇAMENTO!F82</f>
        <v>2.11</v>
      </c>
      <c r="G82" s="458">
        <f>F82*E82</f>
        <v>2067.7999999999997</v>
      </c>
      <c r="I82" s="322"/>
      <c r="J82" s="323"/>
      <c r="K82" s="324"/>
      <c r="L82" s="323"/>
      <c r="M82" s="324"/>
      <c r="N82" s="323"/>
      <c r="O82" s="324"/>
      <c r="P82" s="323"/>
      <c r="Q82" s="324"/>
      <c r="R82" s="323"/>
      <c r="S82" s="324"/>
      <c r="T82" s="323"/>
      <c r="U82" s="324"/>
      <c r="V82" s="323"/>
      <c r="W82" s="324"/>
      <c r="X82" s="323"/>
      <c r="Y82" s="324"/>
      <c r="Z82" s="323"/>
      <c r="AA82" s="498">
        <v>1</v>
      </c>
      <c r="AB82" s="500">
        <f>AA82*G82</f>
        <v>2067.7999999999997</v>
      </c>
      <c r="AC82" s="323"/>
      <c r="AD82" s="323"/>
      <c r="AE82" s="323"/>
      <c r="AF82" s="323"/>
      <c r="AG82" s="498">
        <f t="shared" si="18"/>
        <v>1</v>
      </c>
      <c r="AH82" s="499">
        <f t="shared" si="18"/>
        <v>2067.7999999999997</v>
      </c>
    </row>
    <row r="83" spans="1:34">
      <c r="A83" s="644">
        <v>8</v>
      </c>
      <c r="B83" s="610"/>
      <c r="C83" s="609" t="s">
        <v>36</v>
      </c>
      <c r="D83" s="609"/>
      <c r="E83" s="609"/>
      <c r="F83" s="609"/>
      <c r="G83" s="645">
        <f>SUM(G8:G82)</f>
        <v>178070.61751770668</v>
      </c>
      <c r="I83" s="646" t="s">
        <v>485</v>
      </c>
      <c r="J83" s="647"/>
      <c r="K83" s="648" t="s">
        <v>486</v>
      </c>
      <c r="L83" s="647"/>
      <c r="M83" s="648" t="s">
        <v>487</v>
      </c>
      <c r="N83" s="647"/>
      <c r="O83" s="648" t="s">
        <v>488</v>
      </c>
      <c r="P83" s="649"/>
      <c r="Q83" s="646" t="s">
        <v>489</v>
      </c>
      <c r="R83" s="647"/>
      <c r="S83" s="648" t="s">
        <v>490</v>
      </c>
      <c r="T83" s="647"/>
      <c r="U83" s="648" t="s">
        <v>491</v>
      </c>
      <c r="V83" s="647"/>
      <c r="W83" s="648" t="s">
        <v>492</v>
      </c>
      <c r="X83" s="649"/>
      <c r="Y83" s="646" t="s">
        <v>493</v>
      </c>
      <c r="Z83" s="647"/>
      <c r="AA83" s="648" t="s">
        <v>494</v>
      </c>
      <c r="AB83" s="649"/>
      <c r="AC83" s="432"/>
      <c r="AD83" s="432"/>
      <c r="AE83" s="432"/>
      <c r="AF83" s="431"/>
      <c r="AG83" s="650" t="s">
        <v>497</v>
      </c>
      <c r="AH83" s="651"/>
    </row>
    <row r="84" spans="1:34" ht="15.75" thickBot="1">
      <c r="A84" s="644"/>
      <c r="B84" s="610"/>
      <c r="C84" s="609"/>
      <c r="D84" s="609"/>
      <c r="E84" s="609"/>
      <c r="F84" s="609"/>
      <c r="G84" s="645"/>
      <c r="I84" s="652">
        <f>SUM(J8:J82)</f>
        <v>12895.599005000002</v>
      </c>
      <c r="J84" s="653"/>
      <c r="K84" s="652">
        <f t="shared" ref="K84" si="19">SUM(L8:L82)</f>
        <v>9257.1534466666672</v>
      </c>
      <c r="L84" s="653"/>
      <c r="M84" s="652">
        <f t="shared" ref="M84" si="20">SUM(N8:N82)</f>
        <v>7904.348046666667</v>
      </c>
      <c r="N84" s="653"/>
      <c r="O84" s="652">
        <f t="shared" ref="O84" si="21">SUM(P8:P82)</f>
        <v>5481.4545800000005</v>
      </c>
      <c r="P84" s="653"/>
      <c r="Q84" s="652">
        <f t="shared" ref="Q84" si="22">SUM(R8:R82)</f>
        <v>7660.2094050000005</v>
      </c>
      <c r="R84" s="653"/>
      <c r="S84" s="652">
        <f t="shared" ref="S84" si="23">SUM(T8:T82)</f>
        <v>17529.336416000002</v>
      </c>
      <c r="T84" s="653"/>
      <c r="U84" s="652">
        <f t="shared" ref="U84" si="24">SUM(V8:V82)</f>
        <v>23904.450656000005</v>
      </c>
      <c r="V84" s="653"/>
      <c r="W84" s="652">
        <f t="shared" ref="W84" si="25">SUM(X8:X82)</f>
        <v>30290.345191186665</v>
      </c>
      <c r="X84" s="653"/>
      <c r="Y84" s="652">
        <f t="shared" ref="Y84" si="26">SUM(Z8:Z82)</f>
        <v>42164.963366186668</v>
      </c>
      <c r="Z84" s="653"/>
      <c r="AA84" s="652">
        <f t="shared" ref="AA84" si="27">SUM(AB8:AB82)</f>
        <v>20982.757405</v>
      </c>
      <c r="AB84" s="653"/>
      <c r="AC84" s="433"/>
      <c r="AD84" s="433"/>
      <c r="AE84" s="433"/>
      <c r="AF84" s="395"/>
      <c r="AG84" s="396" t="s">
        <v>498</v>
      </c>
      <c r="AH84" s="397">
        <f>SUM(AH8:AH82)</f>
        <v>178070.61751770668</v>
      </c>
    </row>
    <row r="85" spans="1:34">
      <c r="A85" s="644">
        <v>9</v>
      </c>
      <c r="B85" s="610"/>
      <c r="C85" s="609" t="s">
        <v>37</v>
      </c>
      <c r="D85" s="612">
        <v>0.2049</v>
      </c>
      <c r="E85" s="612"/>
      <c r="F85" s="612"/>
      <c r="G85" s="645">
        <f>G83*D85</f>
        <v>36486.669529378101</v>
      </c>
      <c r="I85" s="654" t="s">
        <v>499</v>
      </c>
      <c r="J85" s="655"/>
      <c r="K85" s="655"/>
      <c r="L85" s="656"/>
      <c r="M85" s="666" t="s">
        <v>500</v>
      </c>
      <c r="N85" s="658"/>
      <c r="O85" s="659">
        <f>I84+K84+M84+O84</f>
        <v>35538.555078333331</v>
      </c>
      <c r="P85" s="660"/>
      <c r="Q85" s="654" t="s">
        <v>501</v>
      </c>
      <c r="R85" s="655"/>
      <c r="S85" s="655"/>
      <c r="T85" s="656"/>
      <c r="U85" s="657" t="s">
        <v>500</v>
      </c>
      <c r="V85" s="658"/>
      <c r="W85" s="659">
        <f>Q84+S84+U84+W84</f>
        <v>79384.34166818668</v>
      </c>
      <c r="X85" s="660"/>
      <c r="Y85" s="667" t="s">
        <v>502</v>
      </c>
      <c r="Z85" s="655"/>
      <c r="AA85" s="655"/>
      <c r="AB85" s="656"/>
      <c r="AC85" s="657" t="s">
        <v>500</v>
      </c>
      <c r="AD85" s="658"/>
      <c r="AE85" s="659">
        <f>AA84+Y84</f>
        <v>63147.720771186665</v>
      </c>
      <c r="AF85" s="660"/>
      <c r="AG85" s="430" t="s">
        <v>503</v>
      </c>
      <c r="AH85" s="397">
        <f>AH84*D85</f>
        <v>36486.669529378101</v>
      </c>
    </row>
    <row r="86" spans="1:34" ht="15.75" thickBot="1">
      <c r="A86" s="644"/>
      <c r="B86" s="610"/>
      <c r="C86" s="609"/>
      <c r="D86" s="612"/>
      <c r="E86" s="612"/>
      <c r="F86" s="612"/>
      <c r="G86" s="645"/>
      <c r="I86" s="661" t="s">
        <v>521</v>
      </c>
      <c r="J86" s="662"/>
      <c r="K86" s="662"/>
      <c r="L86" s="663"/>
      <c r="M86" s="399" t="s">
        <v>503</v>
      </c>
      <c r="N86" s="400">
        <f>D85</f>
        <v>0.2049</v>
      </c>
      <c r="O86" s="664">
        <f>O85*N86</f>
        <v>7281.8499355504991</v>
      </c>
      <c r="P86" s="665"/>
      <c r="Q86" s="661" t="s">
        <v>521</v>
      </c>
      <c r="R86" s="662"/>
      <c r="S86" s="662"/>
      <c r="T86" s="663"/>
      <c r="U86" s="401" t="s">
        <v>503</v>
      </c>
      <c r="V86" s="400">
        <f>D85</f>
        <v>0.2049</v>
      </c>
      <c r="W86" s="664">
        <f>W85*V86</f>
        <v>16265.85160781145</v>
      </c>
      <c r="X86" s="665"/>
      <c r="Y86" s="661" t="s">
        <v>520</v>
      </c>
      <c r="Z86" s="662"/>
      <c r="AA86" s="662"/>
      <c r="AB86" s="663"/>
      <c r="AC86" s="401" t="s">
        <v>503</v>
      </c>
      <c r="AD86" s="400">
        <f>D85</f>
        <v>0.2049</v>
      </c>
      <c r="AE86" s="664">
        <f>AE85*AD86</f>
        <v>12938.967986016147</v>
      </c>
      <c r="AF86" s="665"/>
      <c r="AG86" s="402" t="s">
        <v>504</v>
      </c>
      <c r="AH86" s="403">
        <f>SUM(AH84:AH85)</f>
        <v>214557.28704708477</v>
      </c>
    </row>
    <row r="87" spans="1:34">
      <c r="A87" s="465">
        <v>10</v>
      </c>
      <c r="B87" s="451"/>
      <c r="C87" s="450" t="s">
        <v>38</v>
      </c>
      <c r="D87" s="452" t="s">
        <v>39</v>
      </c>
      <c r="E87" s="453"/>
      <c r="F87" s="454"/>
      <c r="G87" s="466">
        <f>G83+G85</f>
        <v>214557.28704708477</v>
      </c>
      <c r="I87" s="684" t="s">
        <v>505</v>
      </c>
      <c r="J87" s="685"/>
      <c r="K87" s="680"/>
      <c r="L87" s="681"/>
      <c r="M87" s="682" t="s">
        <v>506</v>
      </c>
      <c r="N87" s="680"/>
      <c r="O87" s="664">
        <f>O85+O86</f>
        <v>42820.405013883828</v>
      </c>
      <c r="P87" s="665"/>
      <c r="Q87" s="684" t="s">
        <v>505</v>
      </c>
      <c r="R87" s="685"/>
      <c r="S87" s="680"/>
      <c r="T87" s="681"/>
      <c r="U87" s="683" t="s">
        <v>506</v>
      </c>
      <c r="V87" s="680"/>
      <c r="W87" s="664">
        <f>W85+W86</f>
        <v>95650.193275998128</v>
      </c>
      <c r="X87" s="665"/>
      <c r="Y87" s="684" t="s">
        <v>505</v>
      </c>
      <c r="Z87" s="685"/>
      <c r="AA87" s="680"/>
      <c r="AB87" s="681"/>
      <c r="AC87" s="683" t="s">
        <v>506</v>
      </c>
      <c r="AD87" s="680"/>
      <c r="AE87" s="664">
        <f>AE85+AE86</f>
        <v>76086.688757202806</v>
      </c>
      <c r="AF87" s="665"/>
      <c r="AG87" s="668" t="s">
        <v>507</v>
      </c>
      <c r="AH87" s="671">
        <f>AE89+W89+O89</f>
        <v>214557.28704708477</v>
      </c>
    </row>
    <row r="88" spans="1:34">
      <c r="A88" s="674"/>
      <c r="B88" s="675"/>
      <c r="C88" s="675"/>
      <c r="D88" s="675"/>
      <c r="E88" s="675"/>
      <c r="F88" s="675"/>
      <c r="G88" s="676"/>
      <c r="I88" s="404" t="s">
        <v>508</v>
      </c>
      <c r="J88" s="405">
        <f>O87/G87</f>
        <v>0.19957562664598222</v>
      </c>
      <c r="K88" s="680"/>
      <c r="L88" s="681"/>
      <c r="M88" s="682"/>
      <c r="N88" s="680"/>
      <c r="O88" s="664"/>
      <c r="P88" s="665"/>
      <c r="Q88" s="404" t="s">
        <v>509</v>
      </c>
      <c r="R88" s="405">
        <f>W87/G87</f>
        <v>0.44580258537202522</v>
      </c>
      <c r="S88" s="680"/>
      <c r="T88" s="681"/>
      <c r="U88" s="683"/>
      <c r="V88" s="680"/>
      <c r="W88" s="664"/>
      <c r="X88" s="665"/>
      <c r="Y88" s="404" t="s">
        <v>510</v>
      </c>
      <c r="Z88" s="405">
        <f>AE87/G87</f>
        <v>0.35462178798199251</v>
      </c>
      <c r="AA88" s="680"/>
      <c r="AB88" s="681"/>
      <c r="AC88" s="683"/>
      <c r="AD88" s="680"/>
      <c r="AE88" s="664"/>
      <c r="AF88" s="665"/>
      <c r="AG88" s="669"/>
      <c r="AH88" s="672"/>
    </row>
    <row r="89" spans="1:34" ht="15.75" thickBot="1">
      <c r="A89" s="677"/>
      <c r="B89" s="678"/>
      <c r="C89" s="678"/>
      <c r="D89" s="678"/>
      <c r="E89" s="678"/>
      <c r="F89" s="678"/>
      <c r="G89" s="679"/>
      <c r="I89" s="406" t="s">
        <v>511</v>
      </c>
      <c r="J89" s="407">
        <f>J88</f>
        <v>0.19957562664598222</v>
      </c>
      <c r="K89" s="688"/>
      <c r="L89" s="689"/>
      <c r="M89" s="690" t="s">
        <v>512</v>
      </c>
      <c r="N89" s="691"/>
      <c r="O89" s="686">
        <f>O87-O88</f>
        <v>42820.405013883828</v>
      </c>
      <c r="P89" s="687"/>
      <c r="Q89" s="406" t="s">
        <v>511</v>
      </c>
      <c r="R89" s="407">
        <f>R88+J89</f>
        <v>0.64537821201800738</v>
      </c>
      <c r="S89" s="688"/>
      <c r="T89" s="689"/>
      <c r="U89" s="692" t="s">
        <v>512</v>
      </c>
      <c r="V89" s="691"/>
      <c r="W89" s="686">
        <f>W87-W88</f>
        <v>95650.193275998128</v>
      </c>
      <c r="X89" s="687"/>
      <c r="Y89" s="406" t="s">
        <v>511</v>
      </c>
      <c r="Z89" s="407">
        <f>Z88+R89</f>
        <v>0.99999999999999989</v>
      </c>
      <c r="AA89" s="688"/>
      <c r="AB89" s="689"/>
      <c r="AC89" s="692" t="s">
        <v>512</v>
      </c>
      <c r="AD89" s="691"/>
      <c r="AE89" s="686">
        <f>AE87-AE88</f>
        <v>76086.688757202806</v>
      </c>
      <c r="AF89" s="687"/>
      <c r="AG89" s="670"/>
      <c r="AH89" s="673"/>
    </row>
  </sheetData>
  <mergeCells count="115">
    <mergeCell ref="AE88:AF88"/>
    <mergeCell ref="K89:L89"/>
    <mergeCell ref="M89:N89"/>
    <mergeCell ref="O89:P89"/>
    <mergeCell ref="S89:T89"/>
    <mergeCell ref="U89:V89"/>
    <mergeCell ref="W89:X89"/>
    <mergeCell ref="AA89:AB89"/>
    <mergeCell ref="AC89:AD89"/>
    <mergeCell ref="AG87:AG89"/>
    <mergeCell ref="AH87:AH89"/>
    <mergeCell ref="A88:G89"/>
    <mergeCell ref="K88:L88"/>
    <mergeCell ref="M88:N88"/>
    <mergeCell ref="O88:P88"/>
    <mergeCell ref="S88:T88"/>
    <mergeCell ref="U88:V88"/>
    <mergeCell ref="W88:X88"/>
    <mergeCell ref="AA88:AB88"/>
    <mergeCell ref="U87:V87"/>
    <mergeCell ref="W87:X87"/>
    <mergeCell ref="Y87:Z87"/>
    <mergeCell ref="AA87:AB87"/>
    <mergeCell ref="AC87:AD87"/>
    <mergeCell ref="AE87:AF87"/>
    <mergeCell ref="I87:J87"/>
    <mergeCell ref="K87:L87"/>
    <mergeCell ref="M87:N87"/>
    <mergeCell ref="O87:P87"/>
    <mergeCell ref="Q87:R87"/>
    <mergeCell ref="S87:T87"/>
    <mergeCell ref="AE89:AF89"/>
    <mergeCell ref="AC88:AD88"/>
    <mergeCell ref="A85:A86"/>
    <mergeCell ref="B85:B86"/>
    <mergeCell ref="C85:C86"/>
    <mergeCell ref="D85:F86"/>
    <mergeCell ref="G85:G86"/>
    <mergeCell ref="I85:L85"/>
    <mergeCell ref="AC85:AD85"/>
    <mergeCell ref="AE85:AF85"/>
    <mergeCell ref="I86:L86"/>
    <mergeCell ref="O86:P86"/>
    <mergeCell ref="Q86:T86"/>
    <mergeCell ref="W86:X86"/>
    <mergeCell ref="Y86:AB86"/>
    <mergeCell ref="AE86:AF86"/>
    <mergeCell ref="M85:N85"/>
    <mergeCell ref="O85:P85"/>
    <mergeCell ref="Q85:T85"/>
    <mergeCell ref="U85:V85"/>
    <mergeCell ref="W85:X85"/>
    <mergeCell ref="Y85:AB85"/>
    <mergeCell ref="AG83:AH83"/>
    <mergeCell ref="I84:J84"/>
    <mergeCell ref="K84:L84"/>
    <mergeCell ref="M84:N84"/>
    <mergeCell ref="O84:P84"/>
    <mergeCell ref="Q84:R84"/>
    <mergeCell ref="S84:T84"/>
    <mergeCell ref="K83:L83"/>
    <mergeCell ref="M83:N83"/>
    <mergeCell ref="O83:P83"/>
    <mergeCell ref="Q83:R83"/>
    <mergeCell ref="S83:T83"/>
    <mergeCell ref="U83:V83"/>
    <mergeCell ref="U84:V84"/>
    <mergeCell ref="W84:X84"/>
    <mergeCell ref="Y84:Z84"/>
    <mergeCell ref="AA84:AB84"/>
    <mergeCell ref="I67:AF67"/>
    <mergeCell ref="I68:AF68"/>
    <mergeCell ref="I78:AF78"/>
    <mergeCell ref="I81:AF81"/>
    <mergeCell ref="A83:A84"/>
    <mergeCell ref="B83:B84"/>
    <mergeCell ref="C83:C84"/>
    <mergeCell ref="D83:F84"/>
    <mergeCell ref="G83:G84"/>
    <mergeCell ref="I83:J83"/>
    <mergeCell ref="W83:X83"/>
    <mergeCell ref="Y83:Z83"/>
    <mergeCell ref="AA83:AB83"/>
    <mergeCell ref="I7:AF7"/>
    <mergeCell ref="I38:AF38"/>
    <mergeCell ref="I53:AF53"/>
    <mergeCell ref="K5:L5"/>
    <mergeCell ref="M5:N5"/>
    <mergeCell ref="O5:P5"/>
    <mergeCell ref="Q5:R5"/>
    <mergeCell ref="S5:T5"/>
    <mergeCell ref="U5:V5"/>
    <mergeCell ref="A4:B5"/>
    <mergeCell ref="C4:D5"/>
    <mergeCell ref="E4:G4"/>
    <mergeCell ref="I4:P4"/>
    <mergeCell ref="Q4:X4"/>
    <mergeCell ref="Y4:AB4"/>
    <mergeCell ref="AG4:AH5"/>
    <mergeCell ref="E5:G5"/>
    <mergeCell ref="I5:J5"/>
    <mergeCell ref="W5:X5"/>
    <mergeCell ref="Y5:Z5"/>
    <mergeCell ref="AA5:AB5"/>
    <mergeCell ref="A1:B1"/>
    <mergeCell ref="C1:F1"/>
    <mergeCell ref="G1:G3"/>
    <mergeCell ref="I1:AH1"/>
    <mergeCell ref="A2:B2"/>
    <mergeCell ref="C2:F2"/>
    <mergeCell ref="I2:AH2"/>
    <mergeCell ref="A3:B3"/>
    <mergeCell ref="C3:F3"/>
    <mergeCell ref="I3:AB3"/>
    <mergeCell ref="AG3:AH3"/>
  </mergeCells>
  <pageMargins left="0.511811024" right="0.511811024" top="0.78740157499999996" bottom="0.78740157499999996" header="0.31496062000000002" footer="0.31496062000000002"/>
  <pageSetup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8"/>
  <sheetViews>
    <sheetView topLeftCell="A66" zoomScale="87" zoomScaleNormal="87" workbookViewId="0">
      <selection activeCell="A87" sqref="A87:G88"/>
    </sheetView>
  </sheetViews>
  <sheetFormatPr defaultRowHeight="15"/>
  <cols>
    <col min="1" max="1" width="4.5703125" style="357" bestFit="1" customWidth="1"/>
    <col min="2" max="2" width="16.140625" style="357" bestFit="1" customWidth="1"/>
    <col min="3" max="3" width="57.42578125" style="357" bestFit="1" customWidth="1"/>
    <col min="4" max="4" width="8.7109375" style="357" bestFit="1" customWidth="1"/>
    <col min="5" max="5" width="9.42578125" style="357" customWidth="1"/>
    <col min="6" max="6" width="12.28515625" style="357" bestFit="1" customWidth="1"/>
    <col min="7" max="7" width="14.5703125" style="357" bestFit="1" customWidth="1"/>
    <col min="8" max="8" width="9.140625" style="357"/>
    <col min="9" max="9" width="9.28515625" style="357" bestFit="1" customWidth="1"/>
    <col min="10" max="10" width="13.85546875" style="357" bestFit="1" customWidth="1"/>
    <col min="11" max="11" width="7" style="357" bestFit="1" customWidth="1"/>
    <col min="12" max="12" width="13.85546875" style="357" bestFit="1" customWidth="1"/>
    <col min="13" max="13" width="7" style="357" bestFit="1" customWidth="1"/>
    <col min="14" max="14" width="13.85546875" style="357" bestFit="1" customWidth="1"/>
    <col min="15" max="15" width="7" style="357" bestFit="1" customWidth="1"/>
    <col min="16" max="16" width="13.85546875" style="357" bestFit="1" customWidth="1"/>
    <col min="17" max="17" width="9.28515625" style="357" bestFit="1" customWidth="1"/>
    <col min="18" max="18" width="13.85546875" style="357" bestFit="1" customWidth="1"/>
    <col min="19" max="19" width="7" style="357" bestFit="1" customWidth="1"/>
    <col min="20" max="20" width="13.85546875" style="357" bestFit="1" customWidth="1"/>
    <col min="21" max="21" width="7" style="357" bestFit="1" customWidth="1"/>
    <col min="22" max="22" width="13.85546875" style="357" bestFit="1" customWidth="1"/>
    <col min="23" max="23" width="7" style="357" bestFit="1" customWidth="1"/>
    <col min="24" max="24" width="14.5703125" style="357" bestFit="1" customWidth="1"/>
    <col min="25" max="25" width="9.28515625" style="357" bestFit="1" customWidth="1"/>
    <col min="26" max="26" width="13.85546875" style="357" bestFit="1" customWidth="1"/>
    <col min="27" max="27" width="7" style="357" bestFit="1" customWidth="1"/>
    <col min="28" max="28" width="13.85546875" style="357" bestFit="1" customWidth="1"/>
    <col min="29" max="29" width="4" style="357" bestFit="1" customWidth="1"/>
    <col min="30" max="30" width="15.42578125" style="357" customWidth="1"/>
    <col min="31" max="32" width="9.140625" style="357"/>
    <col min="33" max="33" width="15.7109375" style="357" customWidth="1"/>
    <col min="34" max="34" width="13.85546875" style="357" bestFit="1" customWidth="1"/>
    <col min="35" max="16384" width="9.140625" style="357"/>
  </cols>
  <sheetData>
    <row r="1" spans="1:34" ht="15.75">
      <c r="A1" s="591" t="s">
        <v>0</v>
      </c>
      <c r="B1" s="592"/>
      <c r="C1" s="593" t="s">
        <v>1</v>
      </c>
      <c r="D1" s="593"/>
      <c r="E1" s="593"/>
      <c r="F1" s="593"/>
      <c r="G1" s="594"/>
      <c r="I1" s="613" t="s">
        <v>480</v>
      </c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5"/>
    </row>
    <row r="2" spans="1:34" ht="16.5" thickBot="1">
      <c r="A2" s="603" t="s">
        <v>2</v>
      </c>
      <c r="B2" s="604"/>
      <c r="C2" s="605" t="s">
        <v>335</v>
      </c>
      <c r="D2" s="605"/>
      <c r="E2" s="605"/>
      <c r="F2" s="605"/>
      <c r="G2" s="595"/>
      <c r="I2" s="616" t="s">
        <v>335</v>
      </c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8"/>
    </row>
    <row r="3" spans="1:34" ht="15.75" thickBot="1">
      <c r="A3" s="606" t="s">
        <v>3</v>
      </c>
      <c r="B3" s="607"/>
      <c r="C3" s="608" t="s">
        <v>4</v>
      </c>
      <c r="D3" s="608"/>
      <c r="E3" s="608"/>
      <c r="F3" s="608"/>
      <c r="G3" s="596"/>
      <c r="I3" s="619" t="s">
        <v>527</v>
      </c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329"/>
      <c r="AD3" s="329"/>
      <c r="AE3" s="329"/>
      <c r="AF3" s="329"/>
      <c r="AG3" s="621" t="s">
        <v>481</v>
      </c>
      <c r="AH3" s="622"/>
    </row>
    <row r="4" spans="1:34">
      <c r="A4" s="597" t="s">
        <v>5</v>
      </c>
      <c r="B4" s="598"/>
      <c r="C4" s="601" t="s">
        <v>6</v>
      </c>
      <c r="D4" s="601"/>
      <c r="E4" s="602" t="s">
        <v>435</v>
      </c>
      <c r="F4" s="602"/>
      <c r="G4" s="623"/>
      <c r="I4" s="624" t="s">
        <v>482</v>
      </c>
      <c r="J4" s="625"/>
      <c r="K4" s="625"/>
      <c r="L4" s="625"/>
      <c r="M4" s="625"/>
      <c r="N4" s="625"/>
      <c r="O4" s="625"/>
      <c r="P4" s="626"/>
      <c r="Q4" s="624" t="s">
        <v>483</v>
      </c>
      <c r="R4" s="625"/>
      <c r="S4" s="625"/>
      <c r="T4" s="625"/>
      <c r="U4" s="625"/>
      <c r="V4" s="625"/>
      <c r="W4" s="625"/>
      <c r="X4" s="626"/>
      <c r="Y4" s="624" t="s">
        <v>484</v>
      </c>
      <c r="Z4" s="625"/>
      <c r="AA4" s="625"/>
      <c r="AB4" s="625"/>
      <c r="AC4" s="330"/>
      <c r="AD4" s="330"/>
      <c r="AE4" s="330"/>
      <c r="AF4" s="330"/>
      <c r="AG4" s="627"/>
      <c r="AH4" s="628"/>
    </row>
    <row r="5" spans="1:34">
      <c r="A5" s="599"/>
      <c r="B5" s="600"/>
      <c r="C5" s="601"/>
      <c r="D5" s="601"/>
      <c r="E5" s="602" t="s">
        <v>337</v>
      </c>
      <c r="F5" s="602"/>
      <c r="G5" s="623"/>
      <c r="I5" s="631" t="s">
        <v>485</v>
      </c>
      <c r="J5" s="632"/>
      <c r="K5" s="633" t="s">
        <v>486</v>
      </c>
      <c r="L5" s="632"/>
      <c r="M5" s="633" t="s">
        <v>487</v>
      </c>
      <c r="N5" s="632"/>
      <c r="O5" s="633" t="s">
        <v>488</v>
      </c>
      <c r="P5" s="634"/>
      <c r="Q5" s="631" t="s">
        <v>489</v>
      </c>
      <c r="R5" s="632"/>
      <c r="S5" s="633" t="s">
        <v>490</v>
      </c>
      <c r="T5" s="632"/>
      <c r="U5" s="633" t="s">
        <v>491</v>
      </c>
      <c r="V5" s="632"/>
      <c r="W5" s="633" t="s">
        <v>492</v>
      </c>
      <c r="X5" s="634"/>
      <c r="Y5" s="631" t="s">
        <v>493</v>
      </c>
      <c r="Z5" s="632"/>
      <c r="AA5" s="633" t="s">
        <v>494</v>
      </c>
      <c r="AB5" s="632"/>
      <c r="AC5" s="331"/>
      <c r="AD5" s="331"/>
      <c r="AE5" s="331"/>
      <c r="AF5" s="331"/>
      <c r="AG5" s="629"/>
      <c r="AH5" s="630"/>
    </row>
    <row r="6" spans="1:34" ht="33" customHeight="1" thickBot="1">
      <c r="A6" s="216" t="s">
        <v>7</v>
      </c>
      <c r="B6" s="215" t="s">
        <v>8</v>
      </c>
      <c r="C6" s="214" t="s">
        <v>9</v>
      </c>
      <c r="D6" s="213" t="s">
        <v>10</v>
      </c>
      <c r="E6" s="212" t="s">
        <v>11</v>
      </c>
      <c r="F6" s="211" t="s">
        <v>12</v>
      </c>
      <c r="G6" s="210" t="s">
        <v>13</v>
      </c>
      <c r="I6" s="267" t="s">
        <v>495</v>
      </c>
      <c r="J6" s="268" t="s">
        <v>496</v>
      </c>
      <c r="K6" s="269" t="s">
        <v>495</v>
      </c>
      <c r="L6" s="270" t="s">
        <v>496</v>
      </c>
      <c r="M6" s="271" t="s">
        <v>495</v>
      </c>
      <c r="N6" s="268" t="s">
        <v>496</v>
      </c>
      <c r="O6" s="269" t="s">
        <v>495</v>
      </c>
      <c r="P6" s="272" t="s">
        <v>496</v>
      </c>
      <c r="Q6" s="267" t="s">
        <v>495</v>
      </c>
      <c r="R6" s="268" t="s">
        <v>496</v>
      </c>
      <c r="S6" s="269" t="s">
        <v>495</v>
      </c>
      <c r="T6" s="270" t="s">
        <v>496</v>
      </c>
      <c r="U6" s="271" t="s">
        <v>495</v>
      </c>
      <c r="V6" s="268" t="s">
        <v>496</v>
      </c>
      <c r="W6" s="269" t="s">
        <v>495</v>
      </c>
      <c r="X6" s="272" t="s">
        <v>496</v>
      </c>
      <c r="Y6" s="267" t="s">
        <v>495</v>
      </c>
      <c r="Z6" s="268" t="s">
        <v>496</v>
      </c>
      <c r="AA6" s="269" t="s">
        <v>495</v>
      </c>
      <c r="AB6" s="270" t="s">
        <v>496</v>
      </c>
      <c r="AC6" s="332"/>
      <c r="AD6" s="332"/>
      <c r="AE6" s="332"/>
      <c r="AF6" s="332"/>
      <c r="AG6" s="267" t="s">
        <v>495</v>
      </c>
      <c r="AH6" s="272" t="s">
        <v>496</v>
      </c>
    </row>
    <row r="7" spans="1:34" ht="15.75" thickBot="1">
      <c r="A7" s="455">
        <v>1</v>
      </c>
      <c r="B7" s="90"/>
      <c r="C7" s="220" t="s">
        <v>243</v>
      </c>
      <c r="D7" s="219"/>
      <c r="E7" s="218"/>
      <c r="F7" s="217"/>
      <c r="G7" s="456"/>
      <c r="I7" s="635" t="s">
        <v>243</v>
      </c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7"/>
      <c r="AG7" s="274"/>
      <c r="AH7" s="275"/>
    </row>
    <row r="8" spans="1:34" ht="24">
      <c r="A8" s="457" t="s">
        <v>15</v>
      </c>
      <c r="B8" s="339" t="s">
        <v>40</v>
      </c>
      <c r="C8" s="340" t="s">
        <v>519</v>
      </c>
      <c r="D8" s="85" t="s">
        <v>128</v>
      </c>
      <c r="E8" s="86">
        <f>ORÇAMENTO!E8</f>
        <v>1</v>
      </c>
      <c r="F8" s="87">
        <f>ORÇAMENTO!F8</f>
        <v>218.54</v>
      </c>
      <c r="G8" s="458">
        <f t="shared" ref="G8" si="0">E8*F8</f>
        <v>218.54</v>
      </c>
      <c r="I8" s="358">
        <v>1</v>
      </c>
      <c r="J8" s="359">
        <f>I8*$G8</f>
        <v>218.54</v>
      </c>
      <c r="K8" s="360"/>
      <c r="L8" s="361"/>
      <c r="M8" s="360"/>
      <c r="N8" s="361"/>
      <c r="O8" s="360"/>
      <c r="P8" s="361"/>
      <c r="Q8" s="360"/>
      <c r="R8" s="361"/>
      <c r="S8" s="360"/>
      <c r="T8" s="361"/>
      <c r="U8" s="360"/>
      <c r="V8" s="361"/>
      <c r="W8" s="360"/>
      <c r="X8" s="361"/>
      <c r="Y8" s="360"/>
      <c r="Z8" s="361"/>
      <c r="AA8" s="360"/>
      <c r="AB8" s="361"/>
      <c r="AC8" s="362"/>
      <c r="AD8" s="362"/>
      <c r="AE8" s="362"/>
      <c r="AF8" s="362"/>
      <c r="AG8" s="306">
        <f>I8+K8+M8+O8+Q8+S8+U8+W8+Y8+AA8</f>
        <v>1</v>
      </c>
      <c r="AH8" s="363">
        <f>J8+L8+N8+P8+R8+T8+V8+X8+Z8+AB8</f>
        <v>218.54</v>
      </c>
    </row>
    <row r="9" spans="1:34" ht="24.75" customHeight="1">
      <c r="A9" s="457" t="s">
        <v>18</v>
      </c>
      <c r="B9" s="341" t="s">
        <v>241</v>
      </c>
      <c r="C9" s="342" t="s">
        <v>240</v>
      </c>
      <c r="D9" s="85" t="s">
        <v>25</v>
      </c>
      <c r="E9" s="86">
        <f>ORÇAMENTO!E9</f>
        <v>912.94</v>
      </c>
      <c r="F9" s="87">
        <f>ORÇAMENTO!F9</f>
        <v>0.66</v>
      </c>
      <c r="G9" s="458">
        <f t="shared" ref="G9:G23" si="1">E9*F9</f>
        <v>602.54040000000009</v>
      </c>
      <c r="I9" s="364"/>
      <c r="J9" s="365"/>
      <c r="K9" s="366"/>
      <c r="L9" s="367"/>
      <c r="M9" s="366"/>
      <c r="N9" s="367"/>
      <c r="O9" s="366"/>
      <c r="P9" s="367"/>
      <c r="Q9" s="366"/>
      <c r="R9" s="367"/>
      <c r="S9" s="366"/>
      <c r="T9" s="367"/>
      <c r="U9" s="366"/>
      <c r="V9" s="367"/>
      <c r="W9" s="366"/>
      <c r="X9" s="367"/>
      <c r="Y9" s="366"/>
      <c r="Z9" s="367"/>
      <c r="AA9" s="368">
        <v>1</v>
      </c>
      <c r="AB9" s="369">
        <f>AA9*G9</f>
        <v>602.54040000000009</v>
      </c>
      <c r="AC9" s="365"/>
      <c r="AD9" s="365"/>
      <c r="AE9" s="365"/>
      <c r="AF9" s="365"/>
      <c r="AG9" s="281">
        <f t="shared" ref="AG9:AH23" si="2">I9+K9+M9+O9+Q9+S9+U9+W9+Y9+AA9</f>
        <v>1</v>
      </c>
      <c r="AH9" s="370">
        <f t="shared" si="2"/>
        <v>602.54040000000009</v>
      </c>
    </row>
    <row r="10" spans="1:34" ht="24">
      <c r="A10" s="457" t="s">
        <v>21</v>
      </c>
      <c r="B10" s="341" t="s">
        <v>42</v>
      </c>
      <c r="C10" s="343" t="s">
        <v>420</v>
      </c>
      <c r="D10" s="85" t="s">
        <v>25</v>
      </c>
      <c r="E10" s="86">
        <f>ORÇAMENTO!E10</f>
        <v>3</v>
      </c>
      <c r="F10" s="87">
        <f>ORÇAMENTO!F10</f>
        <v>348.01</v>
      </c>
      <c r="G10" s="458">
        <f t="shared" si="1"/>
        <v>1044.03</v>
      </c>
      <c r="I10" s="371">
        <v>1</v>
      </c>
      <c r="J10" s="372">
        <f t="shared" ref="J10:J11" si="3">I10*$G10</f>
        <v>1044.03</v>
      </c>
      <c r="K10" s="366"/>
      <c r="L10" s="367"/>
      <c r="M10" s="366"/>
      <c r="N10" s="367"/>
      <c r="O10" s="366"/>
      <c r="P10" s="367"/>
      <c r="Q10" s="366"/>
      <c r="R10" s="367"/>
      <c r="S10" s="366"/>
      <c r="T10" s="367"/>
      <c r="U10" s="366"/>
      <c r="V10" s="367"/>
      <c r="W10" s="366"/>
      <c r="X10" s="367"/>
      <c r="Y10" s="366"/>
      <c r="Z10" s="367"/>
      <c r="AA10" s="366"/>
      <c r="AB10" s="367"/>
      <c r="AC10" s="365"/>
      <c r="AD10" s="365"/>
      <c r="AE10" s="365"/>
      <c r="AF10" s="365"/>
      <c r="AG10" s="276">
        <f t="shared" si="2"/>
        <v>1</v>
      </c>
      <c r="AH10" s="374">
        <f t="shared" si="2"/>
        <v>1044.03</v>
      </c>
    </row>
    <row r="11" spans="1:34" ht="36">
      <c r="A11" s="457" t="s">
        <v>338</v>
      </c>
      <c r="B11" s="341" t="s">
        <v>42</v>
      </c>
      <c r="C11" s="343" t="s">
        <v>423</v>
      </c>
      <c r="D11" s="85" t="s">
        <v>25</v>
      </c>
      <c r="E11" s="86">
        <f>ORÇAMENTO!E11</f>
        <v>6</v>
      </c>
      <c r="F11" s="87">
        <f>ORÇAMENTO!F11</f>
        <v>348.01</v>
      </c>
      <c r="G11" s="458">
        <f t="shared" si="1"/>
        <v>2088.06</v>
      </c>
      <c r="I11" s="375">
        <v>1</v>
      </c>
      <c r="J11" s="369">
        <f t="shared" si="3"/>
        <v>2088.06</v>
      </c>
      <c r="K11" s="366"/>
      <c r="L11" s="367"/>
      <c r="M11" s="366"/>
      <c r="N11" s="367"/>
      <c r="O11" s="366"/>
      <c r="P11" s="367"/>
      <c r="Q11" s="366"/>
      <c r="R11" s="367"/>
      <c r="S11" s="366"/>
      <c r="T11" s="367"/>
      <c r="U11" s="366"/>
      <c r="V11" s="367"/>
      <c r="W11" s="366"/>
      <c r="X11" s="367"/>
      <c r="Y11" s="366"/>
      <c r="Z11" s="367"/>
      <c r="AA11" s="366"/>
      <c r="AB11" s="367"/>
      <c r="AC11" s="365"/>
      <c r="AD11" s="365"/>
      <c r="AE11" s="365"/>
      <c r="AF11" s="365"/>
      <c r="AG11" s="281">
        <f t="shared" si="2"/>
        <v>1</v>
      </c>
      <c r="AH11" s="370">
        <f t="shared" si="2"/>
        <v>2088.06</v>
      </c>
    </row>
    <row r="12" spans="1:34" ht="60">
      <c r="A12" s="457" t="s">
        <v>339</v>
      </c>
      <c r="B12" s="341" t="s">
        <v>246</v>
      </c>
      <c r="C12" s="343" t="s">
        <v>436</v>
      </c>
      <c r="D12" s="344" t="s">
        <v>19</v>
      </c>
      <c r="E12" s="86">
        <f>ORÇAMENTO!E12</f>
        <v>3</v>
      </c>
      <c r="F12" s="87">
        <f>ORÇAMENTO!F12</f>
        <v>527.86329999999998</v>
      </c>
      <c r="G12" s="458">
        <f t="shared" si="1"/>
        <v>1583.5898999999999</v>
      </c>
      <c r="I12" s="371">
        <f>1/10</f>
        <v>0.1</v>
      </c>
      <c r="J12" s="372">
        <f>G12*$I12</f>
        <v>158.35899000000001</v>
      </c>
      <c r="K12" s="373">
        <v>0.1</v>
      </c>
      <c r="L12" s="372">
        <f>G12*K12</f>
        <v>158.35899000000001</v>
      </c>
      <c r="M12" s="373">
        <v>0.1</v>
      </c>
      <c r="N12" s="372">
        <f>G12*K12</f>
        <v>158.35899000000001</v>
      </c>
      <c r="O12" s="373">
        <v>0.1</v>
      </c>
      <c r="P12" s="372">
        <f>O12*G12</f>
        <v>158.35899000000001</v>
      </c>
      <c r="Q12" s="373">
        <f>1/10</f>
        <v>0.1</v>
      </c>
      <c r="R12" s="372">
        <f>Q12*G12</f>
        <v>158.35899000000001</v>
      </c>
      <c r="S12" s="373">
        <v>0.1</v>
      </c>
      <c r="T12" s="372">
        <f>G12*S12</f>
        <v>158.35899000000001</v>
      </c>
      <c r="U12" s="373">
        <v>0.1</v>
      </c>
      <c r="V12" s="372">
        <f>U12*G12</f>
        <v>158.35899000000001</v>
      </c>
      <c r="W12" s="373">
        <v>0.1</v>
      </c>
      <c r="X12" s="372">
        <f>W12*G12</f>
        <v>158.35899000000001</v>
      </c>
      <c r="Y12" s="373">
        <v>0.1</v>
      </c>
      <c r="Z12" s="372">
        <f>G12*Y12</f>
        <v>158.35899000000001</v>
      </c>
      <c r="AA12" s="373">
        <v>0.1</v>
      </c>
      <c r="AB12" s="372">
        <f>AA12*G12</f>
        <v>158.35899000000001</v>
      </c>
      <c r="AC12" s="365"/>
      <c r="AD12" s="365"/>
      <c r="AE12" s="365"/>
      <c r="AF12" s="365"/>
      <c r="AG12" s="276">
        <f t="shared" si="2"/>
        <v>0.99999999999999989</v>
      </c>
      <c r="AH12" s="374">
        <f t="shared" si="2"/>
        <v>1583.5898999999997</v>
      </c>
    </row>
    <row r="13" spans="1:34" ht="48">
      <c r="A13" s="457" t="s">
        <v>340</v>
      </c>
      <c r="B13" s="341" t="s">
        <v>246</v>
      </c>
      <c r="C13" s="221" t="s">
        <v>437</v>
      </c>
      <c r="D13" s="344" t="s">
        <v>19</v>
      </c>
      <c r="E13" s="86">
        <f>ORÇAMENTO!E13</f>
        <v>3</v>
      </c>
      <c r="F13" s="87">
        <f>ORÇAMENTO!F13</f>
        <v>527.86329999999998</v>
      </c>
      <c r="G13" s="458">
        <f t="shared" si="1"/>
        <v>1583.5898999999999</v>
      </c>
      <c r="I13" s="375">
        <f>1/10</f>
        <v>0.1</v>
      </c>
      <c r="J13" s="369">
        <f>G13*$I13</f>
        <v>158.35899000000001</v>
      </c>
      <c r="K13" s="368">
        <v>0.1</v>
      </c>
      <c r="L13" s="369">
        <f>G13*K13</f>
        <v>158.35899000000001</v>
      </c>
      <c r="M13" s="368">
        <v>0.1</v>
      </c>
      <c r="N13" s="369">
        <f>G13*K13</f>
        <v>158.35899000000001</v>
      </c>
      <c r="O13" s="368">
        <v>0.1</v>
      </c>
      <c r="P13" s="369">
        <f>O13*G13</f>
        <v>158.35899000000001</v>
      </c>
      <c r="Q13" s="368">
        <f>1/10</f>
        <v>0.1</v>
      </c>
      <c r="R13" s="369">
        <f>Q13*G13</f>
        <v>158.35899000000001</v>
      </c>
      <c r="S13" s="368">
        <v>0.1</v>
      </c>
      <c r="T13" s="369">
        <f>G13*S13</f>
        <v>158.35899000000001</v>
      </c>
      <c r="U13" s="368">
        <v>0.1</v>
      </c>
      <c r="V13" s="369">
        <f>U13*G13</f>
        <v>158.35899000000001</v>
      </c>
      <c r="W13" s="368">
        <v>0.1</v>
      </c>
      <c r="X13" s="369">
        <f>W13*G13</f>
        <v>158.35899000000001</v>
      </c>
      <c r="Y13" s="368">
        <v>0.1</v>
      </c>
      <c r="Z13" s="369">
        <f>G13*Y13</f>
        <v>158.35899000000001</v>
      </c>
      <c r="AA13" s="368">
        <v>0.1</v>
      </c>
      <c r="AB13" s="369">
        <f>AA13*G13</f>
        <v>158.35899000000001</v>
      </c>
      <c r="AC13" s="365"/>
      <c r="AD13" s="365"/>
      <c r="AE13" s="365"/>
      <c r="AF13" s="365"/>
      <c r="AG13" s="281">
        <f t="shared" si="2"/>
        <v>0.99999999999999989</v>
      </c>
      <c r="AH13" s="370">
        <f t="shared" si="2"/>
        <v>1583.5898999999997</v>
      </c>
    </row>
    <row r="14" spans="1:34" ht="38.25" customHeight="1">
      <c r="A14" s="457" t="s">
        <v>341</v>
      </c>
      <c r="B14" s="83" t="s">
        <v>210</v>
      </c>
      <c r="C14" s="221" t="s">
        <v>525</v>
      </c>
      <c r="D14" s="345" t="s">
        <v>516</v>
      </c>
      <c r="E14" s="86">
        <f>ORÇAMENTO!E14</f>
        <v>318.39999999999998</v>
      </c>
      <c r="F14" s="87">
        <f>ORÇAMENTO!F14</f>
        <v>19.350000000000001</v>
      </c>
      <c r="G14" s="458">
        <f t="shared" si="1"/>
        <v>6161.04</v>
      </c>
      <c r="I14" s="371">
        <v>0.1</v>
      </c>
      <c r="J14" s="372">
        <f>G14*I14</f>
        <v>616.10400000000004</v>
      </c>
      <c r="K14" s="373">
        <v>0.1</v>
      </c>
      <c r="L14" s="372">
        <f>G14*K14</f>
        <v>616.10400000000004</v>
      </c>
      <c r="M14" s="373">
        <v>0.1</v>
      </c>
      <c r="N14" s="372">
        <f>G14*M14</f>
        <v>616.10400000000004</v>
      </c>
      <c r="O14" s="373">
        <v>0.1</v>
      </c>
      <c r="P14" s="372">
        <f>G14*O14</f>
        <v>616.10400000000004</v>
      </c>
      <c r="Q14" s="373">
        <v>0.1</v>
      </c>
      <c r="R14" s="372">
        <f>Q14*$G14</f>
        <v>616.10400000000004</v>
      </c>
      <c r="S14" s="373">
        <v>0.1</v>
      </c>
      <c r="T14" s="372">
        <f>S14*G14</f>
        <v>616.10400000000004</v>
      </c>
      <c r="U14" s="373">
        <v>0.1</v>
      </c>
      <c r="V14" s="372">
        <f>U14*G14</f>
        <v>616.10400000000004</v>
      </c>
      <c r="W14" s="373">
        <v>0.1</v>
      </c>
      <c r="X14" s="372">
        <f>G14*W14</f>
        <v>616.10400000000004</v>
      </c>
      <c r="Y14" s="373">
        <v>0.1</v>
      </c>
      <c r="Z14" s="372">
        <f>Y14*G14</f>
        <v>616.10400000000004</v>
      </c>
      <c r="AA14" s="373">
        <v>0.1</v>
      </c>
      <c r="AB14" s="372">
        <f>AA14*G14</f>
        <v>616.10400000000004</v>
      </c>
      <c r="AC14" s="365"/>
      <c r="AD14" s="365"/>
      <c r="AE14" s="365"/>
      <c r="AF14" s="365"/>
      <c r="AG14" s="276">
        <f t="shared" si="2"/>
        <v>0.99999999999999989</v>
      </c>
      <c r="AH14" s="374">
        <f t="shared" si="2"/>
        <v>6161.0400000000018</v>
      </c>
    </row>
    <row r="15" spans="1:34" ht="24">
      <c r="A15" s="457" t="s">
        <v>342</v>
      </c>
      <c r="B15" s="222">
        <v>97064</v>
      </c>
      <c r="C15" s="221" t="s">
        <v>255</v>
      </c>
      <c r="D15" s="85" t="s">
        <v>26</v>
      </c>
      <c r="E15" s="86">
        <f>ORÇAMENTO!E15</f>
        <v>177.4</v>
      </c>
      <c r="F15" s="87">
        <f>ORÇAMENTO!F15</f>
        <v>13.27</v>
      </c>
      <c r="G15" s="458">
        <f t="shared" si="1"/>
        <v>2354.098</v>
      </c>
      <c r="I15" s="375">
        <v>0.25</v>
      </c>
      <c r="J15" s="369">
        <f>I15*G15</f>
        <v>588.52449999999999</v>
      </c>
      <c r="K15" s="366"/>
      <c r="L15" s="367"/>
      <c r="M15" s="366"/>
      <c r="N15" s="367"/>
      <c r="O15" s="366"/>
      <c r="P15" s="367"/>
      <c r="Q15" s="368">
        <v>0.25</v>
      </c>
      <c r="R15" s="369">
        <f>Q15*$G15</f>
        <v>588.52449999999999</v>
      </c>
      <c r="S15" s="366"/>
      <c r="T15" s="367"/>
      <c r="U15" s="366"/>
      <c r="V15" s="367"/>
      <c r="W15" s="368">
        <v>0.25</v>
      </c>
      <c r="X15" s="369">
        <f>G15*W15</f>
        <v>588.52449999999999</v>
      </c>
      <c r="Y15" s="366"/>
      <c r="Z15" s="367"/>
      <c r="AA15" s="368">
        <v>0.25</v>
      </c>
      <c r="AB15" s="369">
        <f>AA15*G15</f>
        <v>588.52449999999999</v>
      </c>
      <c r="AC15" s="365"/>
      <c r="AD15" s="365"/>
      <c r="AE15" s="365"/>
      <c r="AF15" s="365"/>
      <c r="AG15" s="281">
        <f t="shared" si="2"/>
        <v>1</v>
      </c>
      <c r="AH15" s="370">
        <f t="shared" si="2"/>
        <v>2354.098</v>
      </c>
    </row>
    <row r="16" spans="1:34" ht="36">
      <c r="A16" s="457" t="s">
        <v>343</v>
      </c>
      <c r="B16" s="222">
        <v>97066</v>
      </c>
      <c r="C16" s="221" t="s">
        <v>282</v>
      </c>
      <c r="D16" s="85" t="s">
        <v>25</v>
      </c>
      <c r="E16" s="86">
        <f>ORÇAMENTO!E16</f>
        <v>27.2</v>
      </c>
      <c r="F16" s="87">
        <f>ORÇAMENTO!F16</f>
        <v>144.54</v>
      </c>
      <c r="G16" s="458">
        <f t="shared" si="1"/>
        <v>3931.4879999999998</v>
      </c>
      <c r="I16" s="376">
        <v>0.1</v>
      </c>
      <c r="J16" s="377">
        <f>I16*G16</f>
        <v>393.14879999999999</v>
      </c>
      <c r="K16" s="378">
        <v>0.1</v>
      </c>
      <c r="L16" s="377">
        <f>G16*K16</f>
        <v>393.14879999999999</v>
      </c>
      <c r="M16" s="378">
        <v>0.1</v>
      </c>
      <c r="N16" s="377">
        <f>G16*M16</f>
        <v>393.14879999999999</v>
      </c>
      <c r="O16" s="378">
        <v>0.1</v>
      </c>
      <c r="P16" s="377">
        <f>O16*G16</f>
        <v>393.14879999999999</v>
      </c>
      <c r="Q16" s="378">
        <v>0.1</v>
      </c>
      <c r="R16" s="377">
        <f>G16*Q16</f>
        <v>393.14879999999999</v>
      </c>
      <c r="S16" s="378">
        <v>0.1</v>
      </c>
      <c r="T16" s="377">
        <f>S16*G16</f>
        <v>393.14879999999999</v>
      </c>
      <c r="U16" s="378">
        <v>0.1</v>
      </c>
      <c r="V16" s="377">
        <f>G16*U16</f>
        <v>393.14879999999999</v>
      </c>
      <c r="W16" s="378">
        <v>0.1</v>
      </c>
      <c r="X16" s="377">
        <f>G16*W16</f>
        <v>393.14879999999999</v>
      </c>
      <c r="Y16" s="378">
        <v>0.1</v>
      </c>
      <c r="Z16" s="377">
        <f>G16*Y16</f>
        <v>393.14879999999999</v>
      </c>
      <c r="AA16" s="378">
        <v>0.1</v>
      </c>
      <c r="AB16" s="377">
        <f>G16*AA16</f>
        <v>393.14879999999999</v>
      </c>
      <c r="AC16" s="365"/>
      <c r="AD16" s="365"/>
      <c r="AE16" s="365"/>
      <c r="AF16" s="365"/>
      <c r="AG16" s="283">
        <f t="shared" si="2"/>
        <v>0.99999999999999989</v>
      </c>
      <c r="AH16" s="379">
        <f t="shared" si="2"/>
        <v>3931.4879999999998</v>
      </c>
    </row>
    <row r="17" spans="1:34" ht="36">
      <c r="A17" s="457" t="s">
        <v>344</v>
      </c>
      <c r="B17" s="222" t="s">
        <v>47</v>
      </c>
      <c r="C17" s="221" t="s">
        <v>517</v>
      </c>
      <c r="D17" s="85" t="s">
        <v>25</v>
      </c>
      <c r="E17" s="86">
        <f>ORÇAMENTO!E17</f>
        <v>113.2</v>
      </c>
      <c r="F17" s="87">
        <f>ORÇAMENTO!F17</f>
        <v>3.29</v>
      </c>
      <c r="G17" s="458">
        <f t="shared" si="1"/>
        <v>372.428</v>
      </c>
      <c r="I17" s="375">
        <v>1</v>
      </c>
      <c r="J17" s="369">
        <f>I17*G17</f>
        <v>372.428</v>
      </c>
      <c r="K17" s="380"/>
      <c r="L17" s="381"/>
      <c r="M17" s="380"/>
      <c r="N17" s="381"/>
      <c r="O17" s="380"/>
      <c r="P17" s="381"/>
      <c r="Q17" s="380"/>
      <c r="R17" s="381"/>
      <c r="S17" s="380"/>
      <c r="T17" s="381"/>
      <c r="U17" s="380"/>
      <c r="V17" s="381"/>
      <c r="W17" s="380"/>
      <c r="X17" s="381"/>
      <c r="Y17" s="380"/>
      <c r="Z17" s="381"/>
      <c r="AA17" s="380"/>
      <c r="AB17" s="381"/>
      <c r="AC17" s="365"/>
      <c r="AD17" s="365"/>
      <c r="AE17" s="365"/>
      <c r="AF17" s="365"/>
      <c r="AG17" s="281">
        <f t="shared" si="2"/>
        <v>1</v>
      </c>
      <c r="AH17" s="370">
        <f t="shared" si="2"/>
        <v>372.428</v>
      </c>
    </row>
    <row r="18" spans="1:34" ht="24">
      <c r="A18" s="457" t="s">
        <v>345</v>
      </c>
      <c r="B18" s="222" t="s">
        <v>45</v>
      </c>
      <c r="C18" s="346" t="s">
        <v>256</v>
      </c>
      <c r="D18" s="85" t="s">
        <v>25</v>
      </c>
      <c r="E18" s="86">
        <f>ORÇAMENTO!E18</f>
        <v>142.34000000000003</v>
      </c>
      <c r="F18" s="87">
        <f>ORÇAMENTO!F18</f>
        <v>47.8</v>
      </c>
      <c r="G18" s="458">
        <f t="shared" si="1"/>
        <v>6803.8520000000008</v>
      </c>
      <c r="I18" s="382">
        <v>0.25</v>
      </c>
      <c r="J18" s="377">
        <f>G18*I18</f>
        <v>1700.9630000000002</v>
      </c>
      <c r="K18" s="383"/>
      <c r="L18" s="377"/>
      <c r="M18" s="383"/>
      <c r="N18" s="377"/>
      <c r="O18" s="383"/>
      <c r="P18" s="377"/>
      <c r="Q18" s="383">
        <v>0.25</v>
      </c>
      <c r="R18" s="377">
        <f>Q18*G18</f>
        <v>1700.9630000000002</v>
      </c>
      <c r="S18" s="383"/>
      <c r="T18" s="377"/>
      <c r="U18" s="383"/>
      <c r="V18" s="377"/>
      <c r="W18" s="383">
        <v>0.25</v>
      </c>
      <c r="X18" s="377">
        <f>W18*G18</f>
        <v>1700.9630000000002</v>
      </c>
      <c r="Y18" s="383"/>
      <c r="Z18" s="377"/>
      <c r="AA18" s="383">
        <v>0.25</v>
      </c>
      <c r="AB18" s="377">
        <f>AA18*G18</f>
        <v>1700.9630000000002</v>
      </c>
      <c r="AC18" s="365"/>
      <c r="AD18" s="365"/>
      <c r="AE18" s="365"/>
      <c r="AF18" s="365"/>
      <c r="AG18" s="283">
        <f t="shared" si="2"/>
        <v>1</v>
      </c>
      <c r="AH18" s="379">
        <f t="shared" si="2"/>
        <v>6803.8520000000008</v>
      </c>
    </row>
    <row r="19" spans="1:34" ht="72">
      <c r="A19" s="457" t="s">
        <v>346</v>
      </c>
      <c r="B19" s="222">
        <v>85424</v>
      </c>
      <c r="C19" s="346" t="s">
        <v>247</v>
      </c>
      <c r="D19" s="85" t="s">
        <v>25</v>
      </c>
      <c r="E19" s="86">
        <f>ORÇAMENTO!E19</f>
        <v>135.87</v>
      </c>
      <c r="F19" s="87">
        <f>ORÇAMENTO!F19</f>
        <v>20.51</v>
      </c>
      <c r="G19" s="458">
        <f t="shared" si="1"/>
        <v>2786.6937000000003</v>
      </c>
      <c r="I19" s="384">
        <v>0.25</v>
      </c>
      <c r="J19" s="369">
        <f t="shared" ref="J19" si="4">I19*$G19</f>
        <v>696.67342500000007</v>
      </c>
      <c r="K19" s="385"/>
      <c r="L19" s="365"/>
      <c r="M19" s="385"/>
      <c r="N19" s="365"/>
      <c r="O19" s="385"/>
      <c r="P19" s="365"/>
      <c r="Q19" s="386">
        <v>0.25</v>
      </c>
      <c r="R19" s="369">
        <f>Q19*G19</f>
        <v>696.67342500000007</v>
      </c>
      <c r="S19" s="385"/>
      <c r="T19" s="365"/>
      <c r="U19" s="385"/>
      <c r="V19" s="365"/>
      <c r="W19" s="386">
        <v>0.25</v>
      </c>
      <c r="X19" s="369">
        <f>W19*G19</f>
        <v>696.67342500000007</v>
      </c>
      <c r="Y19" s="385"/>
      <c r="Z19" s="365"/>
      <c r="AA19" s="386">
        <v>0.25</v>
      </c>
      <c r="AB19" s="369">
        <f t="shared" ref="AB19" si="5">AA19*$G19</f>
        <v>696.67342500000007</v>
      </c>
      <c r="AC19" s="365"/>
      <c r="AD19" s="365"/>
      <c r="AE19" s="365"/>
      <c r="AF19" s="365"/>
      <c r="AG19" s="281">
        <f t="shared" si="2"/>
        <v>1</v>
      </c>
      <c r="AH19" s="370">
        <f t="shared" si="2"/>
        <v>2786.6937000000003</v>
      </c>
    </row>
    <row r="20" spans="1:34" ht="36">
      <c r="A20" s="457" t="s">
        <v>347</v>
      </c>
      <c r="B20" s="222">
        <v>3777</v>
      </c>
      <c r="C20" s="347" t="s">
        <v>438</v>
      </c>
      <c r="D20" s="85" t="s">
        <v>25</v>
      </c>
      <c r="E20" s="86">
        <f>ORÇAMENTO!E20</f>
        <v>258.8</v>
      </c>
      <c r="F20" s="87">
        <f>ORÇAMENTO!F20</f>
        <v>4.74</v>
      </c>
      <c r="G20" s="458">
        <f t="shared" si="1"/>
        <v>1226.7120000000002</v>
      </c>
      <c r="I20" s="387"/>
      <c r="J20" s="365"/>
      <c r="K20" s="385"/>
      <c r="L20" s="365"/>
      <c r="M20" s="385"/>
      <c r="N20" s="365"/>
      <c r="O20" s="385"/>
      <c r="P20" s="365"/>
      <c r="Q20" s="383">
        <v>0.5</v>
      </c>
      <c r="R20" s="377">
        <f>Q20*G20</f>
        <v>613.35600000000011</v>
      </c>
      <c r="S20" s="385"/>
      <c r="T20" s="365"/>
      <c r="U20" s="385"/>
      <c r="V20" s="365"/>
      <c r="W20" s="385"/>
      <c r="X20" s="365"/>
      <c r="Y20" s="383">
        <v>0.5</v>
      </c>
      <c r="Z20" s="377">
        <f>G20*Y20</f>
        <v>613.35600000000011</v>
      </c>
      <c r="AA20" s="385"/>
      <c r="AB20" s="365"/>
      <c r="AC20" s="365"/>
      <c r="AD20" s="365"/>
      <c r="AE20" s="365"/>
      <c r="AF20" s="365"/>
      <c r="AG20" s="283">
        <f t="shared" si="2"/>
        <v>1</v>
      </c>
      <c r="AH20" s="379">
        <f t="shared" si="2"/>
        <v>1226.7120000000002</v>
      </c>
    </row>
    <row r="21" spans="1:34">
      <c r="A21" s="457" t="s">
        <v>348</v>
      </c>
      <c r="B21" s="348">
        <v>72897</v>
      </c>
      <c r="C21" s="347" t="s">
        <v>250</v>
      </c>
      <c r="D21" s="85" t="s">
        <v>22</v>
      </c>
      <c r="E21" s="86">
        <f>ORÇAMENTO!E21</f>
        <v>112.68400000000001</v>
      </c>
      <c r="F21" s="87">
        <f>ORÇAMENTO!F21</f>
        <v>16.7</v>
      </c>
      <c r="G21" s="458">
        <f t="shared" si="1"/>
        <v>1881.8228000000001</v>
      </c>
      <c r="I21" s="375">
        <v>0.25</v>
      </c>
      <c r="J21" s="369">
        <f>I21*G21</f>
        <v>470.45570000000004</v>
      </c>
      <c r="K21" s="380"/>
      <c r="L21" s="381"/>
      <c r="M21" s="380"/>
      <c r="N21" s="381"/>
      <c r="O21" s="380"/>
      <c r="P21" s="381"/>
      <c r="Q21" s="368">
        <v>0.25</v>
      </c>
      <c r="R21" s="369">
        <f>G21*Q21</f>
        <v>470.45570000000004</v>
      </c>
      <c r="S21" s="380"/>
      <c r="T21" s="365"/>
      <c r="U21" s="388"/>
      <c r="V21" s="365"/>
      <c r="W21" s="368">
        <v>0.25</v>
      </c>
      <c r="X21" s="369">
        <f>G21*W21</f>
        <v>470.45570000000004</v>
      </c>
      <c r="Y21" s="380"/>
      <c r="Z21" s="381"/>
      <c r="AA21" s="368">
        <v>0.25</v>
      </c>
      <c r="AB21" s="369">
        <f>G21*AA21</f>
        <v>470.45570000000004</v>
      </c>
      <c r="AC21" s="365"/>
      <c r="AD21" s="365"/>
      <c r="AE21" s="365"/>
      <c r="AF21" s="365"/>
      <c r="AG21" s="281">
        <f t="shared" si="2"/>
        <v>1</v>
      </c>
      <c r="AH21" s="370">
        <f t="shared" si="2"/>
        <v>1881.8228000000001</v>
      </c>
    </row>
    <row r="22" spans="1:34" ht="24">
      <c r="A22" s="457" t="s">
        <v>415</v>
      </c>
      <c r="B22" s="83" t="s">
        <v>210</v>
      </c>
      <c r="C22" s="347" t="s">
        <v>439</v>
      </c>
      <c r="D22" s="85" t="s">
        <v>128</v>
      </c>
      <c r="E22" s="86">
        <f>ORÇAMENTO!E22</f>
        <v>23</v>
      </c>
      <c r="F22" s="87">
        <f>ORÇAMENTO!F22</f>
        <v>255</v>
      </c>
      <c r="G22" s="458">
        <f t="shared" si="1"/>
        <v>5865</v>
      </c>
      <c r="I22" s="376">
        <v>0.25</v>
      </c>
      <c r="J22" s="377">
        <f>I22*G22</f>
        <v>1466.25</v>
      </c>
      <c r="K22" s="388"/>
      <c r="L22" s="365"/>
      <c r="M22" s="380"/>
      <c r="N22" s="381"/>
      <c r="O22" s="380"/>
      <c r="P22" s="381"/>
      <c r="Q22" s="378">
        <v>0.25</v>
      </c>
      <c r="R22" s="377">
        <f>G22*Q22</f>
        <v>1466.25</v>
      </c>
      <c r="S22" s="380"/>
      <c r="T22" s="381"/>
      <c r="U22" s="380"/>
      <c r="V22" s="381"/>
      <c r="W22" s="378">
        <v>0.25</v>
      </c>
      <c r="X22" s="377">
        <f>G22*W22</f>
        <v>1466.25</v>
      </c>
      <c r="Y22" s="380"/>
      <c r="Z22" s="381"/>
      <c r="AA22" s="378">
        <v>0.25</v>
      </c>
      <c r="AB22" s="377">
        <f>G22*AA22</f>
        <v>1466.25</v>
      </c>
      <c r="AC22" s="365"/>
      <c r="AD22" s="365"/>
      <c r="AE22" s="365"/>
      <c r="AF22" s="365"/>
      <c r="AG22" s="283">
        <f t="shared" si="2"/>
        <v>1</v>
      </c>
      <c r="AH22" s="379">
        <f t="shared" si="2"/>
        <v>5865</v>
      </c>
    </row>
    <row r="23" spans="1:34" ht="36">
      <c r="A23" s="457" t="s">
        <v>424</v>
      </c>
      <c r="B23" s="349">
        <v>90776</v>
      </c>
      <c r="C23" s="350" t="s">
        <v>513</v>
      </c>
      <c r="D23" s="85" t="s">
        <v>20</v>
      </c>
      <c r="E23" s="86">
        <f>ORÇAMENTO!E23</f>
        <v>400</v>
      </c>
      <c r="F23" s="87">
        <f>ORÇAMENTO!F23</f>
        <v>16.78</v>
      </c>
      <c r="G23" s="458">
        <f t="shared" si="1"/>
        <v>6712</v>
      </c>
      <c r="I23" s="375">
        <v>0.1</v>
      </c>
      <c r="J23" s="369">
        <f>I23*G23</f>
        <v>671.2</v>
      </c>
      <c r="K23" s="368">
        <v>0.1</v>
      </c>
      <c r="L23" s="369">
        <f t="shared" ref="L23" si="6">K23*$G23</f>
        <v>671.2</v>
      </c>
      <c r="M23" s="368">
        <v>0.1</v>
      </c>
      <c r="N23" s="369">
        <f>M23*G23</f>
        <v>671.2</v>
      </c>
      <c r="O23" s="368">
        <v>0.1</v>
      </c>
      <c r="P23" s="369">
        <f>O23*G23</f>
        <v>671.2</v>
      </c>
      <c r="Q23" s="368">
        <v>0.1</v>
      </c>
      <c r="R23" s="369">
        <f>G23*Q23</f>
        <v>671.2</v>
      </c>
      <c r="S23" s="368">
        <v>0.1</v>
      </c>
      <c r="T23" s="369">
        <f>G23*S23</f>
        <v>671.2</v>
      </c>
      <c r="U23" s="368">
        <v>0.1</v>
      </c>
      <c r="V23" s="369">
        <f>U23*$G23</f>
        <v>671.2</v>
      </c>
      <c r="W23" s="368">
        <v>0.1</v>
      </c>
      <c r="X23" s="369">
        <f>W23*G23</f>
        <v>671.2</v>
      </c>
      <c r="Y23" s="368">
        <v>0.1</v>
      </c>
      <c r="Z23" s="369">
        <f>Y23*G23</f>
        <v>671.2</v>
      </c>
      <c r="AA23" s="368">
        <v>0.1</v>
      </c>
      <c r="AB23" s="369">
        <f>G23*AA23</f>
        <v>671.2</v>
      </c>
      <c r="AC23" s="365"/>
      <c r="AD23" s="365"/>
      <c r="AE23" s="365"/>
      <c r="AF23" s="365"/>
      <c r="AG23" s="281">
        <f t="shared" si="2"/>
        <v>0.99999999999999989</v>
      </c>
      <c r="AH23" s="370">
        <f t="shared" si="2"/>
        <v>6711.9999999999991</v>
      </c>
    </row>
    <row r="24" spans="1:34">
      <c r="A24" s="459">
        <v>2</v>
      </c>
      <c r="B24" s="90"/>
      <c r="C24" s="220" t="s">
        <v>410</v>
      </c>
      <c r="D24" s="219"/>
      <c r="E24" s="218"/>
      <c r="F24" s="217"/>
      <c r="G24" s="456"/>
      <c r="I24" s="389" t="s">
        <v>410</v>
      </c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1"/>
      <c r="AG24" s="290"/>
      <c r="AH24" s="313"/>
    </row>
    <row r="25" spans="1:34" ht="24">
      <c r="A25" s="457" t="s">
        <v>23</v>
      </c>
      <c r="B25" s="83">
        <v>73686</v>
      </c>
      <c r="C25" s="84" t="s">
        <v>433</v>
      </c>
      <c r="D25" s="85" t="s">
        <v>25</v>
      </c>
      <c r="E25" s="86">
        <f>ORÇAMENTO!E25</f>
        <v>96.22</v>
      </c>
      <c r="F25" s="87">
        <f>ORÇAMENTO!F25</f>
        <v>16.96</v>
      </c>
      <c r="G25" s="458">
        <f>F25*E25</f>
        <v>1631.8912</v>
      </c>
      <c r="I25" s="314"/>
      <c r="J25" s="291"/>
      <c r="K25" s="283">
        <v>1</v>
      </c>
      <c r="L25" s="292">
        <f>G25</f>
        <v>1631.8912</v>
      </c>
      <c r="M25" s="285"/>
      <c r="N25" s="286"/>
      <c r="O25" s="285"/>
      <c r="P25" s="286"/>
      <c r="Q25" s="293"/>
      <c r="R25" s="294"/>
      <c r="S25" s="279"/>
      <c r="T25" s="280"/>
      <c r="U25" s="285"/>
      <c r="V25" s="286"/>
      <c r="W25" s="285"/>
      <c r="X25" s="286"/>
      <c r="Y25" s="285"/>
      <c r="Z25" s="286"/>
      <c r="AA25" s="285"/>
      <c r="AB25" s="286"/>
      <c r="AC25" s="286"/>
      <c r="AD25" s="286"/>
      <c r="AE25" s="286"/>
      <c r="AF25" s="286"/>
      <c r="AG25" s="283">
        <f t="shared" ref="AG25:AH37" si="7">I25+K25+M25+O25+Q25+S25+U25+W25+Y25+AA25</f>
        <v>1</v>
      </c>
      <c r="AH25" s="309">
        <f t="shared" si="7"/>
        <v>1631.8912</v>
      </c>
    </row>
    <row r="26" spans="1:34" ht="22.5">
      <c r="A26" s="457" t="s">
        <v>24</v>
      </c>
      <c r="B26" s="83" t="s">
        <v>440</v>
      </c>
      <c r="C26" s="351" t="s">
        <v>58</v>
      </c>
      <c r="D26" s="85" t="s">
        <v>22</v>
      </c>
      <c r="E26" s="86">
        <f>ORÇAMENTO!E26</f>
        <v>4.82</v>
      </c>
      <c r="F26" s="87">
        <f>ORÇAMENTO!F26</f>
        <v>177.68</v>
      </c>
      <c r="G26" s="458">
        <f t="shared" ref="G26:G37" si="8">F26*E26</f>
        <v>856.41760000000011</v>
      </c>
      <c r="I26" s="311">
        <v>0.5</v>
      </c>
      <c r="J26" s="282">
        <f>G26*I26</f>
        <v>428.20880000000005</v>
      </c>
      <c r="K26" s="288">
        <v>0.5</v>
      </c>
      <c r="L26" s="282">
        <f>G26*K26</f>
        <v>428.20880000000005</v>
      </c>
      <c r="M26" s="289"/>
      <c r="N26" s="280"/>
      <c r="O26" s="289"/>
      <c r="P26" s="280"/>
      <c r="Q26" s="289"/>
      <c r="R26" s="280"/>
      <c r="S26" s="289"/>
      <c r="T26" s="280"/>
      <c r="U26" s="289"/>
      <c r="V26" s="280"/>
      <c r="W26" s="289"/>
      <c r="X26" s="280"/>
      <c r="Y26" s="289"/>
      <c r="Z26" s="280"/>
      <c r="AA26" s="289"/>
      <c r="AB26" s="280"/>
      <c r="AC26" s="280"/>
      <c r="AD26" s="280"/>
      <c r="AE26" s="280"/>
      <c r="AF26" s="280"/>
      <c r="AG26" s="281">
        <f t="shared" si="7"/>
        <v>1</v>
      </c>
      <c r="AH26" s="308">
        <f t="shared" si="7"/>
        <v>856.41760000000011</v>
      </c>
    </row>
    <row r="27" spans="1:34" ht="24">
      <c r="A27" s="457" t="s">
        <v>311</v>
      </c>
      <c r="B27" s="83" t="s">
        <v>441</v>
      </c>
      <c r="C27" s="351" t="s">
        <v>442</v>
      </c>
      <c r="D27" s="352" t="s">
        <v>26</v>
      </c>
      <c r="E27" s="86">
        <f>ORÇAMENTO!E27</f>
        <v>56.6</v>
      </c>
      <c r="F27" s="87">
        <f>ORÇAMENTO!F27</f>
        <v>6.83</v>
      </c>
      <c r="G27" s="458">
        <f t="shared" si="8"/>
        <v>386.57800000000003</v>
      </c>
      <c r="I27" s="310">
        <v>0.5</v>
      </c>
      <c r="J27" s="284">
        <f>G27*I27</f>
        <v>193.28900000000002</v>
      </c>
      <c r="K27" s="287">
        <v>0.5</v>
      </c>
      <c r="L27" s="284">
        <f>K27*G27</f>
        <v>193.28900000000002</v>
      </c>
      <c r="M27" s="289"/>
      <c r="N27" s="280"/>
      <c r="O27" s="289"/>
      <c r="P27" s="280"/>
      <c r="Q27" s="289"/>
      <c r="R27" s="280"/>
      <c r="S27" s="289"/>
      <c r="T27" s="280"/>
      <c r="U27" s="289"/>
      <c r="V27" s="280"/>
      <c r="W27" s="289"/>
      <c r="X27" s="280"/>
      <c r="Y27" s="289"/>
      <c r="Z27" s="280"/>
      <c r="AA27" s="289"/>
      <c r="AB27" s="280"/>
      <c r="AC27" s="280"/>
      <c r="AD27" s="280"/>
      <c r="AE27" s="280"/>
      <c r="AF27" s="280"/>
      <c r="AG27" s="283">
        <f t="shared" si="7"/>
        <v>1</v>
      </c>
      <c r="AH27" s="309">
        <f t="shared" si="7"/>
        <v>386.57800000000003</v>
      </c>
    </row>
    <row r="28" spans="1:34" ht="60">
      <c r="A28" s="457" t="s">
        <v>312</v>
      </c>
      <c r="B28" s="83" t="s">
        <v>443</v>
      </c>
      <c r="C28" s="84" t="s">
        <v>444</v>
      </c>
      <c r="D28" s="352" t="s">
        <v>26</v>
      </c>
      <c r="E28" s="86">
        <f>ORÇAMENTO!E28</f>
        <v>96</v>
      </c>
      <c r="F28" s="87">
        <f>ORÇAMENTO!F28</f>
        <v>53.208888888888886</v>
      </c>
      <c r="G28" s="458">
        <f t="shared" si="8"/>
        <v>5108.0533333333333</v>
      </c>
      <c r="I28" s="312"/>
      <c r="J28" s="280"/>
      <c r="K28" s="288">
        <v>0.5</v>
      </c>
      <c r="L28" s="282">
        <f>G28*K28</f>
        <v>2554.0266666666666</v>
      </c>
      <c r="M28" s="288">
        <v>0.5</v>
      </c>
      <c r="N28" s="282">
        <f>M28*G28</f>
        <v>2554.0266666666666</v>
      </c>
      <c r="O28" s="289"/>
      <c r="P28" s="280"/>
      <c r="Q28" s="289"/>
      <c r="R28" s="280"/>
      <c r="S28" s="289"/>
      <c r="T28" s="280"/>
      <c r="U28" s="289"/>
      <c r="V28" s="280"/>
      <c r="W28" s="289"/>
      <c r="X28" s="280"/>
      <c r="Y28" s="289"/>
      <c r="Z28" s="280"/>
      <c r="AA28" s="289"/>
      <c r="AB28" s="280"/>
      <c r="AC28" s="280"/>
      <c r="AD28" s="280"/>
      <c r="AE28" s="280"/>
      <c r="AF28" s="280"/>
      <c r="AG28" s="281">
        <f t="shared" si="7"/>
        <v>1</v>
      </c>
      <c r="AH28" s="308">
        <f t="shared" si="7"/>
        <v>5108.0533333333333</v>
      </c>
    </row>
    <row r="29" spans="1:34" ht="24">
      <c r="A29" s="457" t="s">
        <v>313</v>
      </c>
      <c r="B29" s="83">
        <v>96523</v>
      </c>
      <c r="C29" s="84" t="s">
        <v>57</v>
      </c>
      <c r="D29" s="352" t="s">
        <v>22</v>
      </c>
      <c r="E29" s="86">
        <f>ORÇAMENTO!E29</f>
        <v>7.06</v>
      </c>
      <c r="F29" s="87">
        <f>ORÇAMENTO!F29</f>
        <v>61.61</v>
      </c>
      <c r="G29" s="458">
        <f t="shared" si="8"/>
        <v>434.96659999999997</v>
      </c>
      <c r="I29" s="307"/>
      <c r="J29" s="280"/>
      <c r="K29" s="279"/>
      <c r="L29" s="280"/>
      <c r="M29" s="283">
        <v>0.5</v>
      </c>
      <c r="N29" s="284">
        <f>M29*G29</f>
        <v>217.48329999999999</v>
      </c>
      <c r="O29" s="283">
        <v>0.5</v>
      </c>
      <c r="P29" s="284">
        <f>O29*G29</f>
        <v>217.48329999999999</v>
      </c>
      <c r="Q29" s="279"/>
      <c r="R29" s="280"/>
      <c r="S29" s="279"/>
      <c r="T29" s="280"/>
      <c r="U29" s="279"/>
      <c r="V29" s="280"/>
      <c r="W29" s="279"/>
      <c r="X29" s="280"/>
      <c r="Y29" s="279"/>
      <c r="Z29" s="280"/>
      <c r="AA29" s="279"/>
      <c r="AB29" s="280"/>
      <c r="AC29" s="280"/>
      <c r="AD29" s="280"/>
      <c r="AE29" s="280"/>
      <c r="AF29" s="280"/>
      <c r="AG29" s="283">
        <f t="shared" si="7"/>
        <v>1</v>
      </c>
      <c r="AH29" s="309">
        <f t="shared" si="7"/>
        <v>434.96659999999997</v>
      </c>
    </row>
    <row r="30" spans="1:34" ht="36">
      <c r="A30" s="457" t="s">
        <v>314</v>
      </c>
      <c r="B30" s="83">
        <v>96537</v>
      </c>
      <c r="C30" s="84" t="s">
        <v>67</v>
      </c>
      <c r="D30" s="85" t="s">
        <v>25</v>
      </c>
      <c r="E30" s="86">
        <f>ORÇAMENTO!E30</f>
        <v>19.8</v>
      </c>
      <c r="F30" s="87">
        <f>ORÇAMENTO!F30</f>
        <v>118.36</v>
      </c>
      <c r="G30" s="458">
        <f t="shared" si="8"/>
        <v>2343.5280000000002</v>
      </c>
      <c r="I30" s="307"/>
      <c r="J30" s="280"/>
      <c r="K30" s="279"/>
      <c r="L30" s="280"/>
      <c r="M30" s="281">
        <v>0.5</v>
      </c>
      <c r="N30" s="282">
        <f>M30*G30</f>
        <v>1171.7640000000001</v>
      </c>
      <c r="O30" s="281">
        <v>0.5</v>
      </c>
      <c r="P30" s="282">
        <f>O30*G30</f>
        <v>1171.7640000000001</v>
      </c>
      <c r="Q30" s="279"/>
      <c r="R30" s="280"/>
      <c r="S30" s="279"/>
      <c r="T30" s="280"/>
      <c r="U30" s="277"/>
      <c r="V30" s="278"/>
      <c r="W30" s="279"/>
      <c r="X30" s="280"/>
      <c r="Y30" s="279"/>
      <c r="Z30" s="280"/>
      <c r="AA30" s="279"/>
      <c r="AB30" s="278"/>
      <c r="AC30" s="278"/>
      <c r="AD30" s="278"/>
      <c r="AE30" s="278"/>
      <c r="AF30" s="278"/>
      <c r="AG30" s="281">
        <f t="shared" si="7"/>
        <v>1</v>
      </c>
      <c r="AH30" s="308">
        <f t="shared" si="7"/>
        <v>2343.5280000000002</v>
      </c>
    </row>
    <row r="31" spans="1:34">
      <c r="A31" s="457" t="s">
        <v>315</v>
      </c>
      <c r="B31" s="83">
        <v>4718</v>
      </c>
      <c r="C31" s="84" t="s">
        <v>71</v>
      </c>
      <c r="D31" s="85" t="s">
        <v>22</v>
      </c>
      <c r="E31" s="86">
        <f>ORÇAMENTO!E31</f>
        <v>0.3</v>
      </c>
      <c r="F31" s="87">
        <f>ORÇAMENTO!F31</f>
        <v>79.05</v>
      </c>
      <c r="G31" s="458">
        <f t="shared" si="8"/>
        <v>23.715</v>
      </c>
      <c r="I31" s="315"/>
      <c r="J31" s="278"/>
      <c r="K31" s="279"/>
      <c r="L31" s="280"/>
      <c r="M31" s="283">
        <v>0.5</v>
      </c>
      <c r="N31" s="284">
        <f>M31*G31</f>
        <v>11.8575</v>
      </c>
      <c r="O31" s="283">
        <v>0.5</v>
      </c>
      <c r="P31" s="284">
        <f>O31*G31</f>
        <v>11.8575</v>
      </c>
      <c r="Q31" s="279"/>
      <c r="R31" s="280"/>
      <c r="S31" s="277"/>
      <c r="T31" s="278"/>
      <c r="U31" s="277"/>
      <c r="V31" s="278"/>
      <c r="W31" s="277"/>
      <c r="X31" s="278"/>
      <c r="Y31" s="277"/>
      <c r="Z31" s="278"/>
      <c r="AA31" s="277"/>
      <c r="AB31" s="278"/>
      <c r="AC31" s="278"/>
      <c r="AD31" s="278"/>
      <c r="AE31" s="278"/>
      <c r="AF31" s="278"/>
      <c r="AG31" s="283">
        <f t="shared" si="7"/>
        <v>1</v>
      </c>
      <c r="AH31" s="309">
        <f t="shared" si="7"/>
        <v>23.715</v>
      </c>
    </row>
    <row r="32" spans="1:34" ht="36">
      <c r="A32" s="457" t="s">
        <v>316</v>
      </c>
      <c r="B32" s="83">
        <v>94969</v>
      </c>
      <c r="C32" s="84" t="s">
        <v>73</v>
      </c>
      <c r="D32" s="85" t="s">
        <v>22</v>
      </c>
      <c r="E32" s="86">
        <f>ORÇAMENTO!E32</f>
        <v>0.3</v>
      </c>
      <c r="F32" s="87">
        <f>ORÇAMENTO!F32</f>
        <v>281.12</v>
      </c>
      <c r="G32" s="458">
        <f t="shared" si="8"/>
        <v>84.335999999999999</v>
      </c>
      <c r="I32" s="307"/>
      <c r="J32" s="280"/>
      <c r="K32" s="279"/>
      <c r="L32" s="280"/>
      <c r="M32" s="281">
        <v>0.5</v>
      </c>
      <c r="N32" s="282">
        <f>G32*M32</f>
        <v>42.167999999999999</v>
      </c>
      <c r="O32" s="281">
        <v>0.5</v>
      </c>
      <c r="P32" s="282">
        <f>O32*G32</f>
        <v>42.167999999999999</v>
      </c>
      <c r="Q32" s="279"/>
      <c r="R32" s="280"/>
      <c r="S32" s="279"/>
      <c r="T32" s="280"/>
      <c r="U32" s="279"/>
      <c r="V32" s="280"/>
      <c r="W32" s="279"/>
      <c r="X32" s="280"/>
      <c r="Y32" s="279"/>
      <c r="Z32" s="280"/>
      <c r="AA32" s="279"/>
      <c r="AB32" s="280"/>
      <c r="AC32" s="280"/>
      <c r="AD32" s="280"/>
      <c r="AE32" s="280"/>
      <c r="AF32" s="280"/>
      <c r="AG32" s="281">
        <f t="shared" si="7"/>
        <v>1</v>
      </c>
      <c r="AH32" s="308">
        <f t="shared" si="7"/>
        <v>84.335999999999999</v>
      </c>
    </row>
    <row r="33" spans="1:34" ht="36">
      <c r="A33" s="457" t="s">
        <v>317</v>
      </c>
      <c r="B33" s="83">
        <v>96555</v>
      </c>
      <c r="C33" s="84" t="s">
        <v>62</v>
      </c>
      <c r="D33" s="85" t="s">
        <v>22</v>
      </c>
      <c r="E33" s="86">
        <f>ORÇAMENTO!E33</f>
        <v>3</v>
      </c>
      <c r="F33" s="87">
        <f>ORÇAMENTO!F33</f>
        <v>441.71</v>
      </c>
      <c r="G33" s="458">
        <f t="shared" si="8"/>
        <v>1325.1299999999999</v>
      </c>
      <c r="I33" s="315"/>
      <c r="J33" s="278"/>
      <c r="K33" s="279"/>
      <c r="L33" s="280"/>
      <c r="M33" s="283">
        <v>0.5</v>
      </c>
      <c r="N33" s="284">
        <f>M33*G33</f>
        <v>662.56499999999994</v>
      </c>
      <c r="O33" s="283">
        <v>0.5</v>
      </c>
      <c r="P33" s="284">
        <f>O33*G33</f>
        <v>662.56499999999994</v>
      </c>
      <c r="Q33" s="279"/>
      <c r="R33" s="280"/>
      <c r="S33" s="277"/>
      <c r="T33" s="278"/>
      <c r="U33" s="277"/>
      <c r="V33" s="278"/>
      <c r="W33" s="277"/>
      <c r="X33" s="278"/>
      <c r="Y33" s="277"/>
      <c r="Z33" s="278"/>
      <c r="AA33" s="277"/>
      <c r="AB33" s="278"/>
      <c r="AC33" s="278"/>
      <c r="AD33" s="278"/>
      <c r="AE33" s="278"/>
      <c r="AF33" s="278"/>
      <c r="AG33" s="283">
        <f t="shared" si="7"/>
        <v>1</v>
      </c>
      <c r="AH33" s="309">
        <f t="shared" si="7"/>
        <v>1325.1299999999999</v>
      </c>
    </row>
    <row r="34" spans="1:34" ht="24">
      <c r="A34" s="457" t="s">
        <v>318</v>
      </c>
      <c r="B34" s="83">
        <v>96546</v>
      </c>
      <c r="C34" s="84" t="s">
        <v>65</v>
      </c>
      <c r="D34" s="85" t="s">
        <v>63</v>
      </c>
      <c r="E34" s="86">
        <f>ORÇAMENTO!E34</f>
        <v>232</v>
      </c>
      <c r="F34" s="87">
        <f>ORÇAMENTO!F34</f>
        <v>7.7</v>
      </c>
      <c r="G34" s="458">
        <f t="shared" si="8"/>
        <v>1786.4</v>
      </c>
      <c r="I34" s="315"/>
      <c r="J34" s="278"/>
      <c r="K34" s="281">
        <v>0.25</v>
      </c>
      <c r="L34" s="282">
        <f>G34*K34</f>
        <v>446.6</v>
      </c>
      <c r="M34" s="281">
        <v>0.25</v>
      </c>
      <c r="N34" s="282">
        <f>M34*G34</f>
        <v>446.6</v>
      </c>
      <c r="O34" s="281">
        <v>0.5</v>
      </c>
      <c r="P34" s="282">
        <f>G34*O34</f>
        <v>893.2</v>
      </c>
      <c r="Q34" s="279"/>
      <c r="R34" s="280"/>
      <c r="S34" s="277"/>
      <c r="T34" s="278"/>
      <c r="U34" s="277"/>
      <c r="V34" s="278"/>
      <c r="W34" s="277"/>
      <c r="X34" s="278"/>
      <c r="Y34" s="277"/>
      <c r="Z34" s="278"/>
      <c r="AA34" s="277"/>
      <c r="AB34" s="278"/>
      <c r="AC34" s="278"/>
      <c r="AD34" s="278"/>
      <c r="AE34" s="278"/>
      <c r="AF34" s="278"/>
      <c r="AG34" s="281">
        <f t="shared" si="7"/>
        <v>1</v>
      </c>
      <c r="AH34" s="308">
        <f t="shared" si="7"/>
        <v>1786.4</v>
      </c>
    </row>
    <row r="35" spans="1:34" ht="24">
      <c r="A35" s="457" t="s">
        <v>319</v>
      </c>
      <c r="B35" s="83" t="s">
        <v>64</v>
      </c>
      <c r="C35" s="84" t="s">
        <v>445</v>
      </c>
      <c r="D35" s="85" t="s">
        <v>63</v>
      </c>
      <c r="E35" s="86">
        <f>ORÇAMENTO!E35</f>
        <v>73</v>
      </c>
      <c r="F35" s="87">
        <f>ORÇAMENTO!F35</f>
        <v>9.82</v>
      </c>
      <c r="G35" s="458">
        <f t="shared" si="8"/>
        <v>716.86</v>
      </c>
      <c r="I35" s="315"/>
      <c r="J35" s="278"/>
      <c r="K35" s="283">
        <v>0.25</v>
      </c>
      <c r="L35" s="284">
        <f>G35*K35</f>
        <v>179.215</v>
      </c>
      <c r="M35" s="283">
        <v>0.25</v>
      </c>
      <c r="N35" s="284">
        <f>M35*G35</f>
        <v>179.215</v>
      </c>
      <c r="O35" s="283">
        <v>0.5</v>
      </c>
      <c r="P35" s="284">
        <f>G35*O35</f>
        <v>358.43</v>
      </c>
      <c r="Q35" s="279"/>
      <c r="R35" s="280"/>
      <c r="S35" s="277"/>
      <c r="T35" s="278"/>
      <c r="U35" s="277"/>
      <c r="V35" s="278"/>
      <c r="W35" s="279"/>
      <c r="X35" s="280"/>
      <c r="Y35" s="277"/>
      <c r="Z35" s="278"/>
      <c r="AA35" s="277"/>
      <c r="AB35" s="278"/>
      <c r="AC35" s="278"/>
      <c r="AD35" s="278"/>
      <c r="AE35" s="278"/>
      <c r="AF35" s="278"/>
      <c r="AG35" s="283">
        <f t="shared" si="7"/>
        <v>1</v>
      </c>
      <c r="AH35" s="309">
        <f t="shared" si="7"/>
        <v>716.86</v>
      </c>
    </row>
    <row r="36" spans="1:34" ht="36">
      <c r="A36" s="457" t="s">
        <v>320</v>
      </c>
      <c r="B36" s="83">
        <v>73548</v>
      </c>
      <c r="C36" s="84" t="s">
        <v>153</v>
      </c>
      <c r="D36" s="85" t="s">
        <v>22</v>
      </c>
      <c r="E36" s="86">
        <f>ORÇAMENTO!E36</f>
        <v>0.2</v>
      </c>
      <c r="F36" s="87">
        <f>ORÇAMENTO!F36</f>
        <v>479.13</v>
      </c>
      <c r="G36" s="458">
        <f t="shared" si="8"/>
        <v>95.826000000000008</v>
      </c>
      <c r="I36" s="307"/>
      <c r="J36" s="280"/>
      <c r="K36" s="279"/>
      <c r="L36" s="280"/>
      <c r="M36" s="279"/>
      <c r="N36" s="280"/>
      <c r="O36" s="281">
        <v>0.5</v>
      </c>
      <c r="P36" s="282">
        <f>O36*G36</f>
        <v>47.913000000000004</v>
      </c>
      <c r="Q36" s="281">
        <v>0.5</v>
      </c>
      <c r="R36" s="282">
        <f>Q36*G36</f>
        <v>47.913000000000004</v>
      </c>
      <c r="S36" s="279"/>
      <c r="T36" s="280"/>
      <c r="U36" s="279"/>
      <c r="V36" s="280"/>
      <c r="W36" s="279"/>
      <c r="X36" s="280"/>
      <c r="Y36" s="279"/>
      <c r="Z36" s="280"/>
      <c r="AA36" s="279"/>
      <c r="AB36" s="280"/>
      <c r="AC36" s="280"/>
      <c r="AD36" s="280"/>
      <c r="AE36" s="280"/>
      <c r="AF36" s="280"/>
      <c r="AG36" s="281">
        <f t="shared" si="7"/>
        <v>1</v>
      </c>
      <c r="AH36" s="308">
        <f t="shared" si="7"/>
        <v>95.826000000000008</v>
      </c>
    </row>
    <row r="37" spans="1:34" ht="24">
      <c r="A37" s="457" t="s">
        <v>321</v>
      </c>
      <c r="B37" s="83" t="s">
        <v>70</v>
      </c>
      <c r="C37" s="84" t="s">
        <v>69</v>
      </c>
      <c r="D37" s="85" t="s">
        <v>25</v>
      </c>
      <c r="E37" s="86">
        <f>ORÇAMENTO!E37</f>
        <v>19.8</v>
      </c>
      <c r="F37" s="87">
        <f>ORÇAMENTO!F37</f>
        <v>7.97</v>
      </c>
      <c r="G37" s="458">
        <f t="shared" si="8"/>
        <v>157.80600000000001</v>
      </c>
      <c r="I37" s="315"/>
      <c r="J37" s="278"/>
      <c r="K37" s="279"/>
      <c r="L37" s="280"/>
      <c r="M37" s="295"/>
      <c r="N37" s="296"/>
      <c r="O37" s="283">
        <v>0.5</v>
      </c>
      <c r="P37" s="284">
        <f>O37*G37</f>
        <v>78.903000000000006</v>
      </c>
      <c r="Q37" s="283">
        <v>0.5</v>
      </c>
      <c r="R37" s="284">
        <f>Q37*G37</f>
        <v>78.903000000000006</v>
      </c>
      <c r="S37" s="279"/>
      <c r="T37" s="280"/>
      <c r="U37" s="277"/>
      <c r="V37" s="278"/>
      <c r="W37" s="277"/>
      <c r="X37" s="278"/>
      <c r="Y37" s="277"/>
      <c r="Z37" s="278"/>
      <c r="AA37" s="277"/>
      <c r="AB37" s="278"/>
      <c r="AC37" s="278"/>
      <c r="AD37" s="278"/>
      <c r="AE37" s="278"/>
      <c r="AF37" s="278"/>
      <c r="AG37" s="283">
        <f t="shared" si="7"/>
        <v>1</v>
      </c>
      <c r="AH37" s="309">
        <f t="shared" si="7"/>
        <v>157.80600000000001</v>
      </c>
    </row>
    <row r="38" spans="1:34" ht="24">
      <c r="A38" s="460">
        <v>3</v>
      </c>
      <c r="B38" s="143"/>
      <c r="C38" s="123" t="s">
        <v>129</v>
      </c>
      <c r="D38" s="117"/>
      <c r="E38" s="118"/>
      <c r="F38" s="119"/>
      <c r="G38" s="461"/>
      <c r="I38" s="638" t="s">
        <v>129</v>
      </c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639"/>
      <c r="AC38" s="639"/>
      <c r="AD38" s="639"/>
      <c r="AE38" s="639"/>
      <c r="AF38" s="640"/>
      <c r="AG38" s="297"/>
      <c r="AH38" s="316"/>
    </row>
    <row r="39" spans="1:34" ht="24">
      <c r="A39" s="462" t="s">
        <v>27</v>
      </c>
      <c r="B39" s="83" t="s">
        <v>185</v>
      </c>
      <c r="C39" s="84" t="s">
        <v>184</v>
      </c>
      <c r="D39" s="85" t="s">
        <v>25</v>
      </c>
      <c r="E39" s="86">
        <f>ORÇAMENTO!E39</f>
        <v>90.24</v>
      </c>
      <c r="F39" s="87">
        <f>ORÇAMENTO!F39</f>
        <v>16.366</v>
      </c>
      <c r="G39" s="463">
        <f t="shared" ref="G39" si="9">E39*F39</f>
        <v>1476.8678399999999</v>
      </c>
      <c r="I39" s="307"/>
      <c r="J39" s="280"/>
      <c r="K39" s="279"/>
      <c r="L39" s="280"/>
      <c r="M39" s="279"/>
      <c r="N39" s="280"/>
      <c r="O39" s="279"/>
      <c r="P39" s="280"/>
      <c r="Q39" s="279"/>
      <c r="R39" s="280"/>
      <c r="S39" s="279"/>
      <c r="T39" s="280"/>
      <c r="U39" s="281">
        <v>1</v>
      </c>
      <c r="V39" s="282">
        <f t="shared" ref="V39:V52" si="10">U39*G39</f>
        <v>1476.8678399999999</v>
      </c>
      <c r="W39" s="279"/>
      <c r="X39" s="280"/>
      <c r="Y39" s="279"/>
      <c r="Z39" s="280"/>
      <c r="AA39" s="279"/>
      <c r="AB39" s="280"/>
      <c r="AC39" s="280"/>
      <c r="AD39" s="280"/>
      <c r="AE39" s="280"/>
      <c r="AF39" s="280"/>
      <c r="AG39" s="281">
        <f t="shared" ref="AG39:AH52" si="11">I39+K39+M39+O39+Q39+S39+U39+W39+Y39+AA39</f>
        <v>1</v>
      </c>
      <c r="AH39" s="308">
        <f t="shared" si="11"/>
        <v>1476.8678399999999</v>
      </c>
    </row>
    <row r="40" spans="1:34" ht="36">
      <c r="A40" s="462" t="s">
        <v>28</v>
      </c>
      <c r="B40" s="83" t="s">
        <v>106</v>
      </c>
      <c r="C40" s="84" t="s">
        <v>206</v>
      </c>
      <c r="D40" s="85" t="s">
        <v>63</v>
      </c>
      <c r="E40" s="86">
        <f>ORÇAMENTO!E40</f>
        <v>1164</v>
      </c>
      <c r="F40" s="87">
        <f>ORÇAMENTO!F40</f>
        <v>16.896660000000001</v>
      </c>
      <c r="G40" s="463">
        <f t="shared" ref="G40:G52" si="12">E40*F40</f>
        <v>19667.712240000001</v>
      </c>
      <c r="I40" s="315"/>
      <c r="J40" s="278"/>
      <c r="K40" s="277"/>
      <c r="L40" s="278"/>
      <c r="M40" s="285"/>
      <c r="N40" s="286"/>
      <c r="O40" s="279"/>
      <c r="P40" s="280"/>
      <c r="Q40" s="277"/>
      <c r="R40" s="278"/>
      <c r="S40" s="283">
        <v>0.5</v>
      </c>
      <c r="T40" s="284">
        <f t="shared" ref="T40:T47" si="13">S40*G40</f>
        <v>9833.8561200000004</v>
      </c>
      <c r="U40" s="283">
        <v>0.5</v>
      </c>
      <c r="V40" s="284">
        <f t="shared" si="10"/>
        <v>9833.8561200000004</v>
      </c>
      <c r="W40" s="277"/>
      <c r="X40" s="278"/>
      <c r="Y40" s="277"/>
      <c r="Z40" s="278"/>
      <c r="AA40" s="279"/>
      <c r="AB40" s="280"/>
      <c r="AC40" s="280"/>
      <c r="AD40" s="280"/>
      <c r="AE40" s="280"/>
      <c r="AF40" s="280"/>
      <c r="AG40" s="283">
        <f t="shared" si="11"/>
        <v>1</v>
      </c>
      <c r="AH40" s="309">
        <f t="shared" si="11"/>
        <v>19667.712240000001</v>
      </c>
    </row>
    <row r="41" spans="1:34">
      <c r="A41" s="462" t="s">
        <v>49</v>
      </c>
      <c r="B41" s="83" t="s">
        <v>113</v>
      </c>
      <c r="C41" s="84" t="s">
        <v>118</v>
      </c>
      <c r="D41" s="85" t="s">
        <v>63</v>
      </c>
      <c r="E41" s="86">
        <f>ORÇAMENTO!E41</f>
        <v>95.76</v>
      </c>
      <c r="F41" s="87">
        <f>ORÇAMENTO!F41</f>
        <v>6.9345000000000008</v>
      </c>
      <c r="G41" s="463">
        <f t="shared" si="12"/>
        <v>664.04772000000014</v>
      </c>
      <c r="I41" s="307"/>
      <c r="J41" s="280"/>
      <c r="K41" s="279"/>
      <c r="L41" s="280"/>
      <c r="M41" s="279"/>
      <c r="N41" s="280"/>
      <c r="O41" s="279"/>
      <c r="P41" s="280"/>
      <c r="Q41" s="279"/>
      <c r="R41" s="280"/>
      <c r="S41" s="281">
        <v>0.5</v>
      </c>
      <c r="T41" s="282">
        <f t="shared" si="13"/>
        <v>332.02386000000007</v>
      </c>
      <c r="U41" s="281">
        <v>0.5</v>
      </c>
      <c r="V41" s="298">
        <f t="shared" si="10"/>
        <v>332.02386000000007</v>
      </c>
      <c r="W41" s="279"/>
      <c r="X41" s="280"/>
      <c r="Y41" s="279"/>
      <c r="Z41" s="280"/>
      <c r="AA41" s="279"/>
      <c r="AB41" s="280"/>
      <c r="AC41" s="280"/>
      <c r="AD41" s="280"/>
      <c r="AE41" s="280"/>
      <c r="AF41" s="280"/>
      <c r="AG41" s="281">
        <f t="shared" si="11"/>
        <v>1</v>
      </c>
      <c r="AH41" s="308">
        <f t="shared" si="11"/>
        <v>664.04772000000014</v>
      </c>
    </row>
    <row r="42" spans="1:34">
      <c r="A42" s="462" t="s">
        <v>50</v>
      </c>
      <c r="B42" s="83" t="s">
        <v>124</v>
      </c>
      <c r="C42" s="84" t="s">
        <v>117</v>
      </c>
      <c r="D42" s="85" t="s">
        <v>63</v>
      </c>
      <c r="E42" s="86">
        <f>ORÇAMENTO!E42</f>
        <v>239.28</v>
      </c>
      <c r="F42" s="87">
        <f>ORÇAMENTO!F42</f>
        <v>7.8782999999999994</v>
      </c>
      <c r="G42" s="463">
        <f t="shared" si="12"/>
        <v>1885.1196239999999</v>
      </c>
      <c r="I42" s="307"/>
      <c r="J42" s="280"/>
      <c r="K42" s="279"/>
      <c r="L42" s="280"/>
      <c r="M42" s="279"/>
      <c r="N42" s="280"/>
      <c r="O42" s="279"/>
      <c r="P42" s="280"/>
      <c r="Q42" s="279"/>
      <c r="R42" s="280"/>
      <c r="S42" s="283">
        <v>0.5</v>
      </c>
      <c r="T42" s="284">
        <f t="shared" si="13"/>
        <v>942.55981199999997</v>
      </c>
      <c r="U42" s="283">
        <v>0.5</v>
      </c>
      <c r="V42" s="284">
        <f t="shared" si="10"/>
        <v>942.55981199999997</v>
      </c>
      <c r="W42" s="279"/>
      <c r="X42" s="280"/>
      <c r="Y42" s="279"/>
      <c r="Z42" s="280"/>
      <c r="AA42" s="279"/>
      <c r="AB42" s="280"/>
      <c r="AC42" s="280"/>
      <c r="AD42" s="280"/>
      <c r="AE42" s="280"/>
      <c r="AF42" s="280"/>
      <c r="AG42" s="279">
        <f t="shared" si="11"/>
        <v>1</v>
      </c>
      <c r="AH42" s="317">
        <f t="shared" si="11"/>
        <v>1885.1196239999999</v>
      </c>
    </row>
    <row r="43" spans="1:34" ht="24">
      <c r="A43" s="462" t="s">
        <v>51</v>
      </c>
      <c r="B43" s="83" t="s">
        <v>125</v>
      </c>
      <c r="C43" s="84" t="s">
        <v>122</v>
      </c>
      <c r="D43" s="85" t="s">
        <v>63</v>
      </c>
      <c r="E43" s="86">
        <f>ORÇAMENTO!E43</f>
        <v>387.6</v>
      </c>
      <c r="F43" s="87">
        <f>ORÇAMENTO!F43</f>
        <v>12.317880000000001</v>
      </c>
      <c r="G43" s="463">
        <f t="shared" si="12"/>
        <v>4774.4102880000009</v>
      </c>
      <c r="I43" s="307"/>
      <c r="J43" s="280"/>
      <c r="K43" s="279"/>
      <c r="L43" s="280"/>
      <c r="M43" s="279"/>
      <c r="N43" s="280"/>
      <c r="O43" s="279"/>
      <c r="P43" s="280"/>
      <c r="Q43" s="279"/>
      <c r="R43" s="280"/>
      <c r="S43" s="281">
        <v>0.5</v>
      </c>
      <c r="T43" s="282">
        <f t="shared" si="13"/>
        <v>2387.2051440000005</v>
      </c>
      <c r="U43" s="281">
        <v>0.5</v>
      </c>
      <c r="V43" s="298">
        <f t="shared" si="10"/>
        <v>2387.2051440000005</v>
      </c>
      <c r="W43" s="277"/>
      <c r="X43" s="278"/>
      <c r="Y43" s="277"/>
      <c r="Z43" s="278"/>
      <c r="AA43" s="277"/>
      <c r="AB43" s="278"/>
      <c r="AC43" s="278"/>
      <c r="AD43" s="278"/>
      <c r="AE43" s="278"/>
      <c r="AF43" s="278"/>
      <c r="AG43" s="281">
        <f t="shared" si="11"/>
        <v>1</v>
      </c>
      <c r="AH43" s="308">
        <f t="shared" si="11"/>
        <v>4774.4102880000009</v>
      </c>
    </row>
    <row r="44" spans="1:34">
      <c r="A44" s="462" t="s">
        <v>29</v>
      </c>
      <c r="B44" s="83" t="s">
        <v>126</v>
      </c>
      <c r="C44" s="84" t="s">
        <v>121</v>
      </c>
      <c r="D44" s="85" t="s">
        <v>63</v>
      </c>
      <c r="E44" s="86">
        <f>ORÇAMENTO!E44</f>
        <v>54</v>
      </c>
      <c r="F44" s="87">
        <f>ORÇAMENTO!F44</f>
        <v>6.9321000000000002</v>
      </c>
      <c r="G44" s="463">
        <f t="shared" si="12"/>
        <v>374.33339999999998</v>
      </c>
      <c r="I44" s="307"/>
      <c r="J44" s="280"/>
      <c r="K44" s="279"/>
      <c r="L44" s="280"/>
      <c r="M44" s="279"/>
      <c r="N44" s="280"/>
      <c r="O44" s="279"/>
      <c r="P44" s="280"/>
      <c r="Q44" s="279"/>
      <c r="R44" s="280"/>
      <c r="S44" s="283">
        <v>0.5</v>
      </c>
      <c r="T44" s="284">
        <f t="shared" si="13"/>
        <v>187.16669999999999</v>
      </c>
      <c r="U44" s="283">
        <v>0.5</v>
      </c>
      <c r="V44" s="284">
        <f t="shared" si="10"/>
        <v>187.16669999999999</v>
      </c>
      <c r="W44" s="277"/>
      <c r="X44" s="278"/>
      <c r="Y44" s="277"/>
      <c r="Z44" s="278"/>
      <c r="AA44" s="277"/>
      <c r="AB44" s="278"/>
      <c r="AC44" s="278"/>
      <c r="AD44" s="278"/>
      <c r="AE44" s="278"/>
      <c r="AF44" s="278"/>
      <c r="AG44" s="283">
        <f t="shared" si="11"/>
        <v>1</v>
      </c>
      <c r="AH44" s="309">
        <f t="shared" si="11"/>
        <v>374.33339999999998</v>
      </c>
    </row>
    <row r="45" spans="1:34" ht="24">
      <c r="A45" s="462" t="s">
        <v>30</v>
      </c>
      <c r="B45" s="83">
        <v>6391</v>
      </c>
      <c r="C45" s="84" t="s">
        <v>448</v>
      </c>
      <c r="D45" s="85" t="s">
        <v>26</v>
      </c>
      <c r="E45" s="86">
        <f>ORÇAMENTO!E45</f>
        <v>19.2</v>
      </c>
      <c r="F45" s="87">
        <f>ORÇAMENTO!F45</f>
        <v>128.59</v>
      </c>
      <c r="G45" s="463">
        <f t="shared" si="12"/>
        <v>2468.9279999999999</v>
      </c>
      <c r="I45" s="307"/>
      <c r="J45" s="280"/>
      <c r="K45" s="279"/>
      <c r="L45" s="280"/>
      <c r="M45" s="279"/>
      <c r="N45" s="280"/>
      <c r="O45" s="279"/>
      <c r="P45" s="280"/>
      <c r="Q45" s="279"/>
      <c r="R45" s="280"/>
      <c r="S45" s="281">
        <v>0.5</v>
      </c>
      <c r="T45" s="282">
        <f t="shared" si="13"/>
        <v>1234.4639999999999</v>
      </c>
      <c r="U45" s="281">
        <v>0.5</v>
      </c>
      <c r="V45" s="282">
        <f t="shared" si="10"/>
        <v>1234.4639999999999</v>
      </c>
      <c r="W45" s="277"/>
      <c r="X45" s="278"/>
      <c r="Y45" s="277"/>
      <c r="Z45" s="278"/>
      <c r="AA45" s="277"/>
      <c r="AB45" s="278"/>
      <c r="AC45" s="278"/>
      <c r="AD45" s="278"/>
      <c r="AE45" s="278"/>
      <c r="AF45" s="278"/>
      <c r="AG45" s="281">
        <f t="shared" si="11"/>
        <v>1</v>
      </c>
      <c r="AH45" s="308">
        <f t="shared" si="11"/>
        <v>2468.9279999999999</v>
      </c>
    </row>
    <row r="46" spans="1:34" ht="24">
      <c r="A46" s="462" t="s">
        <v>323</v>
      </c>
      <c r="B46" s="83">
        <v>11963</v>
      </c>
      <c r="C46" s="84" t="s">
        <v>127</v>
      </c>
      <c r="D46" s="85" t="s">
        <v>128</v>
      </c>
      <c r="E46" s="86">
        <f>ORÇAMENTO!E46</f>
        <v>24</v>
      </c>
      <c r="F46" s="87">
        <f>ORÇAMENTO!F46</f>
        <v>5.0199999999999996</v>
      </c>
      <c r="G46" s="463">
        <f t="shared" si="12"/>
        <v>120.47999999999999</v>
      </c>
      <c r="I46" s="307"/>
      <c r="J46" s="280"/>
      <c r="K46" s="279"/>
      <c r="L46" s="280"/>
      <c r="M46" s="279"/>
      <c r="N46" s="280"/>
      <c r="O46" s="279"/>
      <c r="P46" s="280"/>
      <c r="Q46" s="279"/>
      <c r="R46" s="280"/>
      <c r="S46" s="283">
        <v>0.5</v>
      </c>
      <c r="T46" s="284">
        <f t="shared" si="13"/>
        <v>60.239999999999995</v>
      </c>
      <c r="U46" s="283">
        <v>0.5</v>
      </c>
      <c r="V46" s="284">
        <f t="shared" si="10"/>
        <v>60.239999999999995</v>
      </c>
      <c r="W46" s="277"/>
      <c r="X46" s="278"/>
      <c r="Y46" s="277"/>
      <c r="Z46" s="278"/>
      <c r="AA46" s="277"/>
      <c r="AB46" s="278"/>
      <c r="AC46" s="278"/>
      <c r="AD46" s="278"/>
      <c r="AE46" s="278"/>
      <c r="AF46" s="278"/>
      <c r="AG46" s="283">
        <f t="shared" si="11"/>
        <v>1</v>
      </c>
      <c r="AH46" s="309">
        <f t="shared" si="11"/>
        <v>120.47999999999999</v>
      </c>
    </row>
    <row r="47" spans="1:34" ht="36">
      <c r="A47" s="462" t="s">
        <v>324</v>
      </c>
      <c r="B47" s="83">
        <v>83736</v>
      </c>
      <c r="C47" s="84" t="s">
        <v>139</v>
      </c>
      <c r="D47" s="85" t="s">
        <v>25</v>
      </c>
      <c r="E47" s="86">
        <f>ORÇAMENTO!E47</f>
        <v>5</v>
      </c>
      <c r="F47" s="87">
        <f>ORÇAMENTO!F47</f>
        <v>172.9</v>
      </c>
      <c r="G47" s="463">
        <f t="shared" si="12"/>
        <v>864.5</v>
      </c>
      <c r="I47" s="307"/>
      <c r="J47" s="280"/>
      <c r="K47" s="279"/>
      <c r="L47" s="280"/>
      <c r="M47" s="279"/>
      <c r="N47" s="280"/>
      <c r="O47" s="279"/>
      <c r="P47" s="280"/>
      <c r="Q47" s="279"/>
      <c r="R47" s="280"/>
      <c r="S47" s="281">
        <v>0.5</v>
      </c>
      <c r="T47" s="282">
        <f t="shared" si="13"/>
        <v>432.25</v>
      </c>
      <c r="U47" s="281">
        <v>0.5</v>
      </c>
      <c r="V47" s="282">
        <f t="shared" si="10"/>
        <v>432.25</v>
      </c>
      <c r="W47" s="277"/>
      <c r="X47" s="278"/>
      <c r="Y47" s="277"/>
      <c r="Z47" s="278"/>
      <c r="AA47" s="277"/>
      <c r="AB47" s="278"/>
      <c r="AC47" s="278"/>
      <c r="AD47" s="278"/>
      <c r="AE47" s="278"/>
      <c r="AF47" s="278"/>
      <c r="AG47" s="281">
        <f t="shared" si="11"/>
        <v>1</v>
      </c>
      <c r="AH47" s="308">
        <f t="shared" si="11"/>
        <v>864.5</v>
      </c>
    </row>
    <row r="48" spans="1:34">
      <c r="A48" s="462" t="s">
        <v>325</v>
      </c>
      <c r="B48" s="83" t="s">
        <v>135</v>
      </c>
      <c r="C48" s="84" t="s">
        <v>146</v>
      </c>
      <c r="D48" s="85" t="s">
        <v>63</v>
      </c>
      <c r="E48" s="86">
        <f>ORÇAMENTO!E48</f>
        <v>120</v>
      </c>
      <c r="F48" s="87">
        <f>ORÇAMENTO!F48</f>
        <v>10.19272</v>
      </c>
      <c r="G48" s="463">
        <f t="shared" si="12"/>
        <v>1223.1263999999999</v>
      </c>
      <c r="I48" s="318"/>
      <c r="J48" s="299"/>
      <c r="K48" s="279"/>
      <c r="L48" s="280"/>
      <c r="M48" s="279"/>
      <c r="N48" s="280"/>
      <c r="O48" s="279"/>
      <c r="P48" s="280"/>
      <c r="Q48" s="279"/>
      <c r="R48" s="280"/>
      <c r="S48" s="277"/>
      <c r="T48" s="278"/>
      <c r="U48" s="283">
        <v>1</v>
      </c>
      <c r="V48" s="284">
        <f t="shared" si="10"/>
        <v>1223.1263999999999</v>
      </c>
      <c r="W48" s="277"/>
      <c r="X48" s="278"/>
      <c r="Y48" s="277"/>
      <c r="Z48" s="278"/>
      <c r="AA48" s="277"/>
      <c r="AB48" s="278"/>
      <c r="AC48" s="278"/>
      <c r="AD48" s="278"/>
      <c r="AE48" s="278"/>
      <c r="AF48" s="278"/>
      <c r="AG48" s="283">
        <f t="shared" si="11"/>
        <v>1</v>
      </c>
      <c r="AH48" s="309">
        <f t="shared" si="11"/>
        <v>1223.1263999999999</v>
      </c>
    </row>
    <row r="49" spans="1:34">
      <c r="A49" s="462" t="s">
        <v>326</v>
      </c>
      <c r="B49" s="83" t="s">
        <v>210</v>
      </c>
      <c r="C49" s="84" t="s">
        <v>234</v>
      </c>
      <c r="D49" s="85" t="s">
        <v>128</v>
      </c>
      <c r="E49" s="86">
        <f>ORÇAMENTO!E49</f>
        <v>24</v>
      </c>
      <c r="F49" s="87">
        <f>ORÇAMENTO!F49</f>
        <v>10.199999999999999</v>
      </c>
      <c r="G49" s="463">
        <f t="shared" si="12"/>
        <v>244.79999999999998</v>
      </c>
      <c r="I49" s="307"/>
      <c r="J49" s="280"/>
      <c r="K49" s="279"/>
      <c r="L49" s="280"/>
      <c r="M49" s="279"/>
      <c r="N49" s="280"/>
      <c r="O49" s="279"/>
      <c r="P49" s="280"/>
      <c r="Q49" s="279"/>
      <c r="R49" s="280"/>
      <c r="S49" s="281">
        <v>0.5</v>
      </c>
      <c r="T49" s="282">
        <f>S49*G49</f>
        <v>122.39999999999999</v>
      </c>
      <c r="U49" s="281">
        <v>0.5</v>
      </c>
      <c r="V49" s="282">
        <f t="shared" si="10"/>
        <v>122.39999999999999</v>
      </c>
      <c r="W49" s="277"/>
      <c r="X49" s="278"/>
      <c r="Y49" s="277"/>
      <c r="Z49" s="278"/>
      <c r="AA49" s="277"/>
      <c r="AB49" s="278"/>
      <c r="AC49" s="278"/>
      <c r="AD49" s="278"/>
      <c r="AE49" s="278"/>
      <c r="AF49" s="278"/>
      <c r="AG49" s="281">
        <f t="shared" si="11"/>
        <v>1</v>
      </c>
      <c r="AH49" s="308">
        <f t="shared" si="11"/>
        <v>244.79999999999998</v>
      </c>
    </row>
    <row r="50" spans="1:34">
      <c r="A50" s="462" t="s">
        <v>327</v>
      </c>
      <c r="B50" s="83">
        <v>11971</v>
      </c>
      <c r="C50" s="84" t="s">
        <v>238</v>
      </c>
      <c r="D50" s="85" t="s">
        <v>128</v>
      </c>
      <c r="E50" s="86">
        <f>ORÇAMENTO!E50</f>
        <v>24</v>
      </c>
      <c r="F50" s="87">
        <f>ORÇAMENTO!F50</f>
        <v>2.2400000000000002</v>
      </c>
      <c r="G50" s="463">
        <f t="shared" si="12"/>
        <v>53.760000000000005</v>
      </c>
      <c r="I50" s="307"/>
      <c r="J50" s="280"/>
      <c r="K50" s="279"/>
      <c r="L50" s="280"/>
      <c r="M50" s="279"/>
      <c r="N50" s="280"/>
      <c r="O50" s="279"/>
      <c r="P50" s="280"/>
      <c r="Q50" s="279"/>
      <c r="R50" s="280"/>
      <c r="S50" s="277"/>
      <c r="T50" s="278"/>
      <c r="U50" s="283">
        <v>1</v>
      </c>
      <c r="V50" s="284">
        <f t="shared" si="10"/>
        <v>53.760000000000005</v>
      </c>
      <c r="W50" s="277"/>
      <c r="X50" s="278"/>
      <c r="Y50" s="277"/>
      <c r="Z50" s="278"/>
      <c r="AA50" s="277"/>
      <c r="AB50" s="278"/>
      <c r="AC50" s="278"/>
      <c r="AD50" s="278"/>
      <c r="AE50" s="278"/>
      <c r="AF50" s="278"/>
      <c r="AG50" s="283">
        <f t="shared" si="11"/>
        <v>1</v>
      </c>
      <c r="AH50" s="309">
        <f t="shared" si="11"/>
        <v>53.760000000000005</v>
      </c>
    </row>
    <row r="51" spans="1:34" ht="24">
      <c r="A51" s="462" t="s">
        <v>349</v>
      </c>
      <c r="B51" s="83">
        <v>4004</v>
      </c>
      <c r="C51" s="84" t="s">
        <v>232</v>
      </c>
      <c r="D51" s="85" t="s">
        <v>22</v>
      </c>
      <c r="E51" s="86">
        <f>ORÇAMENTO!E51</f>
        <v>0.19200000000000006</v>
      </c>
      <c r="F51" s="87">
        <f>ORÇAMENTO!F51</f>
        <v>1325</v>
      </c>
      <c r="G51" s="463">
        <f t="shared" si="12"/>
        <v>254.40000000000009</v>
      </c>
      <c r="I51" s="307"/>
      <c r="J51" s="280"/>
      <c r="K51" s="279"/>
      <c r="L51" s="280"/>
      <c r="M51" s="279"/>
      <c r="N51" s="280"/>
      <c r="O51" s="279"/>
      <c r="P51" s="280"/>
      <c r="Q51" s="279"/>
      <c r="R51" s="280"/>
      <c r="S51" s="277"/>
      <c r="T51" s="278"/>
      <c r="U51" s="281">
        <v>1</v>
      </c>
      <c r="V51" s="282">
        <f t="shared" si="10"/>
        <v>254.40000000000009</v>
      </c>
      <c r="W51" s="277"/>
      <c r="X51" s="278"/>
      <c r="Y51" s="277"/>
      <c r="Z51" s="278"/>
      <c r="AA51" s="277"/>
      <c r="AB51" s="278"/>
      <c r="AC51" s="278"/>
      <c r="AD51" s="278"/>
      <c r="AE51" s="278"/>
      <c r="AF51" s="278"/>
      <c r="AG51" s="281">
        <f t="shared" si="11"/>
        <v>1</v>
      </c>
      <c r="AH51" s="308">
        <f t="shared" si="11"/>
        <v>254.40000000000009</v>
      </c>
    </row>
    <row r="52" spans="1:34">
      <c r="A52" s="462" t="s">
        <v>350</v>
      </c>
      <c r="B52" s="83" t="s">
        <v>210</v>
      </c>
      <c r="C52" s="84" t="s">
        <v>434</v>
      </c>
      <c r="D52" s="85" t="s">
        <v>128</v>
      </c>
      <c r="E52" s="86">
        <f>ORÇAMENTO!E52</f>
        <v>12</v>
      </c>
      <c r="F52" s="87">
        <f>ORÇAMENTO!F52</f>
        <v>280.58</v>
      </c>
      <c r="G52" s="463">
        <f t="shared" si="12"/>
        <v>3366.96</v>
      </c>
      <c r="I52" s="307"/>
      <c r="J52" s="280"/>
      <c r="K52" s="279"/>
      <c r="L52" s="280"/>
      <c r="M52" s="279"/>
      <c r="N52" s="280"/>
      <c r="O52" s="279"/>
      <c r="P52" s="280"/>
      <c r="Q52" s="279"/>
      <c r="R52" s="280"/>
      <c r="S52" s="277"/>
      <c r="T52" s="278"/>
      <c r="U52" s="283">
        <v>1</v>
      </c>
      <c r="V52" s="284">
        <f t="shared" si="10"/>
        <v>3366.96</v>
      </c>
      <c r="W52" s="277"/>
      <c r="X52" s="278"/>
      <c r="Y52" s="277"/>
      <c r="Z52" s="278"/>
      <c r="AA52" s="277"/>
      <c r="AB52" s="278"/>
      <c r="AC52" s="278"/>
      <c r="AD52" s="278"/>
      <c r="AE52" s="278"/>
      <c r="AF52" s="278"/>
      <c r="AG52" s="283">
        <f t="shared" si="11"/>
        <v>1</v>
      </c>
      <c r="AH52" s="309">
        <f t="shared" si="11"/>
        <v>3366.96</v>
      </c>
    </row>
    <row r="53" spans="1:34" ht="24">
      <c r="A53" s="464">
        <v>4</v>
      </c>
      <c r="B53" s="115"/>
      <c r="C53" s="123" t="s">
        <v>476</v>
      </c>
      <c r="D53" s="117"/>
      <c r="E53" s="118"/>
      <c r="F53" s="119"/>
      <c r="G53" s="461"/>
      <c r="I53" s="638" t="s">
        <v>476</v>
      </c>
      <c r="J53" s="639"/>
      <c r="K53" s="639"/>
      <c r="L53" s="639"/>
      <c r="M53" s="639"/>
      <c r="N53" s="639"/>
      <c r="O53" s="639"/>
      <c r="P53" s="639"/>
      <c r="Q53" s="639"/>
      <c r="R53" s="639"/>
      <c r="S53" s="639"/>
      <c r="T53" s="639"/>
      <c r="U53" s="639"/>
      <c r="V53" s="639"/>
      <c r="W53" s="639"/>
      <c r="X53" s="639"/>
      <c r="Y53" s="639"/>
      <c r="Z53" s="639"/>
      <c r="AA53" s="639"/>
      <c r="AB53" s="639"/>
      <c r="AC53" s="639"/>
      <c r="AD53" s="639"/>
      <c r="AE53" s="639"/>
      <c r="AF53" s="640"/>
      <c r="AG53" s="301"/>
      <c r="AH53" s="319"/>
    </row>
    <row r="54" spans="1:34" ht="36">
      <c r="A54" s="462" t="s">
        <v>52</v>
      </c>
      <c r="B54" s="83">
        <v>97647</v>
      </c>
      <c r="C54" s="84" t="s">
        <v>191</v>
      </c>
      <c r="D54" s="85" t="s">
        <v>25</v>
      </c>
      <c r="E54" s="86">
        <f>ORÇAMENTO!E54</f>
        <v>191.78</v>
      </c>
      <c r="F54" s="87">
        <f>ORÇAMENTO!F54</f>
        <v>2.2200000000000002</v>
      </c>
      <c r="G54" s="458">
        <f t="shared" ref="G54" si="14">E54*F54</f>
        <v>425.75160000000005</v>
      </c>
      <c r="I54" s="307"/>
      <c r="J54" s="280"/>
      <c r="K54" s="279"/>
      <c r="L54" s="280"/>
      <c r="M54" s="281">
        <v>1</v>
      </c>
      <c r="N54" s="282">
        <f>G54*M54</f>
        <v>425.75160000000005</v>
      </c>
      <c r="O54" s="279"/>
      <c r="P54" s="280"/>
      <c r="Q54" s="279"/>
      <c r="R54" s="280"/>
      <c r="S54" s="279"/>
      <c r="T54" s="280"/>
      <c r="U54" s="279"/>
      <c r="V54" s="280"/>
      <c r="W54" s="279"/>
      <c r="X54" s="280"/>
      <c r="Y54" s="279"/>
      <c r="Z54" s="280"/>
      <c r="AA54" s="279"/>
      <c r="AB54" s="280"/>
      <c r="AC54" s="280"/>
      <c r="AD54" s="280"/>
      <c r="AE54" s="280"/>
      <c r="AF54" s="280"/>
      <c r="AG54" s="281">
        <f t="shared" ref="AG54:AH66" si="15">I54+K54+M54+O54+Q54+S54+U54+W54+Y54+AA54</f>
        <v>1</v>
      </c>
      <c r="AH54" s="308">
        <f t="shared" si="15"/>
        <v>425.75160000000005</v>
      </c>
    </row>
    <row r="55" spans="1:34" ht="24">
      <c r="A55" s="462" t="s">
        <v>53</v>
      </c>
      <c r="B55" s="353">
        <v>94207</v>
      </c>
      <c r="C55" s="84" t="s">
        <v>449</v>
      </c>
      <c r="D55" s="85" t="s">
        <v>25</v>
      </c>
      <c r="E55" s="86">
        <f>ORÇAMENTO!E55</f>
        <v>191.78</v>
      </c>
      <c r="F55" s="87">
        <f>ORÇAMENTO!F55</f>
        <v>30.48</v>
      </c>
      <c r="G55" s="458">
        <f t="shared" ref="G55:G66" si="16">E55*F55</f>
        <v>5845.4544000000005</v>
      </c>
      <c r="I55" s="307"/>
      <c r="J55" s="280"/>
      <c r="K55" s="279"/>
      <c r="L55" s="280"/>
      <c r="M55" s="279"/>
      <c r="N55" s="280"/>
      <c r="O55" s="279"/>
      <c r="P55" s="280"/>
      <c r="Q55" s="279"/>
      <c r="R55" s="280"/>
      <c r="S55" s="279"/>
      <c r="T55" s="280"/>
      <c r="U55" s="279"/>
      <c r="V55" s="280"/>
      <c r="W55" s="279"/>
      <c r="X55" s="280"/>
      <c r="Y55" s="283">
        <v>1</v>
      </c>
      <c r="Z55" s="284">
        <f>Y55*G55</f>
        <v>5845.4544000000005</v>
      </c>
      <c r="AA55" s="279"/>
      <c r="AB55" s="280"/>
      <c r="AC55" s="280"/>
      <c r="AD55" s="280"/>
      <c r="AE55" s="280"/>
      <c r="AF55" s="280"/>
      <c r="AG55" s="283">
        <f t="shared" si="15"/>
        <v>1</v>
      </c>
      <c r="AH55" s="309">
        <f t="shared" si="15"/>
        <v>5845.4544000000005</v>
      </c>
    </row>
    <row r="56" spans="1:34" ht="36">
      <c r="A56" s="462" t="s">
        <v>328</v>
      </c>
      <c r="B56" s="83">
        <v>97625</v>
      </c>
      <c r="C56" s="84" t="s">
        <v>193</v>
      </c>
      <c r="D56" s="85" t="s">
        <v>22</v>
      </c>
      <c r="E56" s="86">
        <f>ORÇAMENTO!E56</f>
        <v>67.600000000000009</v>
      </c>
      <c r="F56" s="87">
        <f>ORÇAMENTO!F56</f>
        <v>36.08</v>
      </c>
      <c r="G56" s="458">
        <f t="shared" si="16"/>
        <v>2439.0080000000003</v>
      </c>
      <c r="I56" s="307"/>
      <c r="J56" s="280"/>
      <c r="K56" s="279"/>
      <c r="L56" s="280"/>
      <c r="M56" s="281">
        <v>0.5</v>
      </c>
      <c r="N56" s="282">
        <f>M56*G56</f>
        <v>1219.5040000000001</v>
      </c>
      <c r="O56" s="281">
        <v>0.5</v>
      </c>
      <c r="P56" s="282">
        <f>O56*G56</f>
        <v>1219.5040000000001</v>
      </c>
      <c r="Q56" s="279"/>
      <c r="R56" s="280"/>
      <c r="S56" s="279"/>
      <c r="T56" s="280"/>
      <c r="U56" s="279"/>
      <c r="V56" s="280"/>
      <c r="W56" s="279"/>
      <c r="X56" s="280"/>
      <c r="Y56" s="279"/>
      <c r="Z56" s="280"/>
      <c r="AA56" s="279"/>
      <c r="AB56" s="280"/>
      <c r="AC56" s="280"/>
      <c r="AD56" s="280"/>
      <c r="AE56" s="280"/>
      <c r="AF56" s="280"/>
      <c r="AG56" s="281">
        <f t="shared" si="15"/>
        <v>1</v>
      </c>
      <c r="AH56" s="308">
        <f t="shared" si="15"/>
        <v>2439.0080000000003</v>
      </c>
    </row>
    <row r="57" spans="1:34" ht="36">
      <c r="A57" s="462" t="s">
        <v>329</v>
      </c>
      <c r="B57" s="83">
        <v>97627</v>
      </c>
      <c r="C57" s="84" t="s">
        <v>466</v>
      </c>
      <c r="D57" s="85" t="s">
        <v>22</v>
      </c>
      <c r="E57" s="86">
        <f>ORÇAMENTO!E57</f>
        <v>7.2</v>
      </c>
      <c r="F57" s="87">
        <f>ORÇAMENTO!F57</f>
        <v>168.68</v>
      </c>
      <c r="G57" s="458">
        <f t="shared" si="16"/>
        <v>1214.4960000000001</v>
      </c>
      <c r="I57" s="307"/>
      <c r="J57" s="280"/>
      <c r="K57" s="279"/>
      <c r="L57" s="280"/>
      <c r="M57" s="283">
        <v>0.5</v>
      </c>
      <c r="N57" s="284">
        <f>M57*G57</f>
        <v>607.24800000000005</v>
      </c>
      <c r="O57" s="283">
        <v>0.5</v>
      </c>
      <c r="P57" s="284">
        <f>O57*G57</f>
        <v>607.24800000000005</v>
      </c>
      <c r="Q57" s="279"/>
      <c r="R57" s="280"/>
      <c r="S57" s="279"/>
      <c r="T57" s="280"/>
      <c r="U57" s="279"/>
      <c r="V57" s="280"/>
      <c r="W57" s="279"/>
      <c r="X57" s="280"/>
      <c r="Y57" s="279"/>
      <c r="Z57" s="280"/>
      <c r="AA57" s="279"/>
      <c r="AB57" s="280"/>
      <c r="AC57" s="280"/>
      <c r="AD57" s="280"/>
      <c r="AE57" s="280"/>
      <c r="AF57" s="280"/>
      <c r="AG57" s="283">
        <f t="shared" si="15"/>
        <v>1</v>
      </c>
      <c r="AH57" s="309">
        <f t="shared" si="15"/>
        <v>1214.4960000000001</v>
      </c>
    </row>
    <row r="58" spans="1:34" ht="24">
      <c r="A58" s="462" t="s">
        <v>330</v>
      </c>
      <c r="B58" s="83" t="s">
        <v>518</v>
      </c>
      <c r="C58" s="84" t="s">
        <v>467</v>
      </c>
      <c r="D58" s="85" t="s">
        <v>25</v>
      </c>
      <c r="E58" s="86">
        <f>ORÇAMENTO!E58</f>
        <v>336.96</v>
      </c>
      <c r="F58" s="87">
        <f>ORÇAMENTO!F58</f>
        <v>46.278411500000004</v>
      </c>
      <c r="G58" s="458">
        <f t="shared" si="16"/>
        <v>15593.97353904</v>
      </c>
      <c r="I58" s="307"/>
      <c r="J58" s="280"/>
      <c r="K58" s="279"/>
      <c r="L58" s="280"/>
      <c r="M58" s="279"/>
      <c r="N58" s="280"/>
      <c r="O58" s="279"/>
      <c r="P58" s="280"/>
      <c r="Q58" s="279"/>
      <c r="R58" s="280"/>
      <c r="S58" s="279"/>
      <c r="T58" s="280"/>
      <c r="U58" s="279"/>
      <c r="V58" s="280"/>
      <c r="W58" s="281">
        <v>0.5</v>
      </c>
      <c r="X58" s="282">
        <f>W58*G58</f>
        <v>7796.9867695200001</v>
      </c>
      <c r="Y58" s="281">
        <v>0.5</v>
      </c>
      <c r="Z58" s="282">
        <f>Y58*G58</f>
        <v>7796.9867695200001</v>
      </c>
      <c r="AA58" s="279"/>
      <c r="AB58" s="280"/>
      <c r="AC58" s="280"/>
      <c r="AD58" s="280"/>
      <c r="AE58" s="280"/>
      <c r="AF58" s="280"/>
      <c r="AG58" s="281">
        <f t="shared" si="15"/>
        <v>1</v>
      </c>
      <c r="AH58" s="308">
        <f t="shared" si="15"/>
        <v>15593.97353904</v>
      </c>
    </row>
    <row r="59" spans="1:34" ht="36">
      <c r="A59" s="462" t="s">
        <v>331</v>
      </c>
      <c r="B59" s="83" t="s">
        <v>474</v>
      </c>
      <c r="C59" s="84" t="s">
        <v>475</v>
      </c>
      <c r="D59" s="85" t="s">
        <v>26</v>
      </c>
      <c r="E59" s="86">
        <f>ORÇAMENTO!E59</f>
        <v>280.8</v>
      </c>
      <c r="F59" s="87">
        <f>ORÇAMENTO!F59</f>
        <v>18.21</v>
      </c>
      <c r="G59" s="458">
        <f t="shared" si="16"/>
        <v>5113.3680000000004</v>
      </c>
      <c r="I59" s="307"/>
      <c r="J59" s="280"/>
      <c r="K59" s="279"/>
      <c r="L59" s="280"/>
      <c r="M59" s="279"/>
      <c r="N59" s="280"/>
      <c r="O59" s="279"/>
      <c r="P59" s="280"/>
      <c r="Q59" s="279"/>
      <c r="R59" s="280"/>
      <c r="S59" s="279"/>
      <c r="T59" s="280"/>
      <c r="U59" s="279"/>
      <c r="V59" s="280"/>
      <c r="W59" s="283">
        <v>0.5</v>
      </c>
      <c r="X59" s="284">
        <f>W59*G59</f>
        <v>2556.6840000000002</v>
      </c>
      <c r="Y59" s="283">
        <v>0.5</v>
      </c>
      <c r="Z59" s="284">
        <f>Y59*G59</f>
        <v>2556.6840000000002</v>
      </c>
      <c r="AA59" s="279"/>
      <c r="AB59" s="280"/>
      <c r="AC59" s="280"/>
      <c r="AD59" s="280"/>
      <c r="AE59" s="280"/>
      <c r="AF59" s="280"/>
      <c r="AG59" s="283">
        <f t="shared" si="15"/>
        <v>1</v>
      </c>
      <c r="AH59" s="309">
        <f t="shared" si="15"/>
        <v>5113.3680000000004</v>
      </c>
    </row>
    <row r="60" spans="1:34" ht="24">
      <c r="A60" s="462" t="s">
        <v>332</v>
      </c>
      <c r="B60" s="83" t="s">
        <v>209</v>
      </c>
      <c r="C60" s="84" t="s">
        <v>202</v>
      </c>
      <c r="D60" s="85" t="s">
        <v>63</v>
      </c>
      <c r="E60" s="86">
        <f>ORÇAMENTO!E60</f>
        <v>1150.92</v>
      </c>
      <c r="F60" s="87">
        <f>ORÇAMENTO!F60</f>
        <v>6.011496779388084</v>
      </c>
      <c r="G60" s="458">
        <f t="shared" si="16"/>
        <v>6918.7518733333345</v>
      </c>
      <c r="I60" s="307"/>
      <c r="J60" s="280"/>
      <c r="K60" s="279"/>
      <c r="L60" s="280"/>
      <c r="M60" s="279"/>
      <c r="N60" s="280"/>
      <c r="O60" s="279"/>
      <c r="P60" s="280"/>
      <c r="Q60" s="279"/>
      <c r="R60" s="280"/>
      <c r="S60" s="279"/>
      <c r="T60" s="280"/>
      <c r="U60" s="279"/>
      <c r="V60" s="280"/>
      <c r="W60" s="281">
        <v>0.5</v>
      </c>
      <c r="X60" s="282">
        <f t="shared" ref="X60:X66" si="17">W60*G60</f>
        <v>3459.3759366666673</v>
      </c>
      <c r="Y60" s="281">
        <v>0.5</v>
      </c>
      <c r="Z60" s="282">
        <f t="shared" ref="Z60:Z66" si="18">Y60*G60</f>
        <v>3459.3759366666673</v>
      </c>
      <c r="AA60" s="279"/>
      <c r="AB60" s="280"/>
      <c r="AC60" s="280"/>
      <c r="AD60" s="280"/>
      <c r="AE60" s="280"/>
      <c r="AF60" s="280"/>
      <c r="AG60" s="281">
        <f t="shared" si="15"/>
        <v>1</v>
      </c>
      <c r="AH60" s="308">
        <f t="shared" si="15"/>
        <v>6918.7518733333345</v>
      </c>
    </row>
    <row r="61" spans="1:34" ht="24">
      <c r="A61" s="462" t="s">
        <v>333</v>
      </c>
      <c r="B61" s="83" t="s">
        <v>213</v>
      </c>
      <c r="C61" s="84" t="s">
        <v>212</v>
      </c>
      <c r="D61" s="85" t="s">
        <v>63</v>
      </c>
      <c r="E61" s="86">
        <f>ORÇAMENTO!E61</f>
        <v>1206</v>
      </c>
      <c r="F61" s="87">
        <f>ORÇAMENTO!F61</f>
        <v>6.6455100000000007</v>
      </c>
      <c r="G61" s="458">
        <f t="shared" si="16"/>
        <v>8014.4850600000009</v>
      </c>
      <c r="I61" s="307"/>
      <c r="J61" s="280"/>
      <c r="K61" s="279"/>
      <c r="L61" s="280"/>
      <c r="M61" s="279"/>
      <c r="N61" s="280"/>
      <c r="O61" s="279"/>
      <c r="P61" s="280"/>
      <c r="Q61" s="279"/>
      <c r="R61" s="280"/>
      <c r="S61" s="279"/>
      <c r="T61" s="280"/>
      <c r="U61" s="279"/>
      <c r="V61" s="280"/>
      <c r="W61" s="283">
        <v>0.5</v>
      </c>
      <c r="X61" s="284">
        <f t="shared" si="17"/>
        <v>4007.2425300000004</v>
      </c>
      <c r="Y61" s="283">
        <v>0.5</v>
      </c>
      <c r="Z61" s="284">
        <f t="shared" si="18"/>
        <v>4007.2425300000004</v>
      </c>
      <c r="AA61" s="279"/>
      <c r="AB61" s="280"/>
      <c r="AC61" s="280"/>
      <c r="AD61" s="280"/>
      <c r="AE61" s="280"/>
      <c r="AF61" s="280"/>
      <c r="AG61" s="283">
        <f t="shared" si="15"/>
        <v>1</v>
      </c>
      <c r="AH61" s="309">
        <f t="shared" si="15"/>
        <v>8014.4850600000009</v>
      </c>
    </row>
    <row r="62" spans="1:34" ht="24">
      <c r="A62" s="462" t="s">
        <v>334</v>
      </c>
      <c r="B62" s="83" t="s">
        <v>221</v>
      </c>
      <c r="C62" s="84" t="s">
        <v>214</v>
      </c>
      <c r="D62" s="85" t="s">
        <v>63</v>
      </c>
      <c r="E62" s="86">
        <f>ORÇAMENTO!E62</f>
        <v>173.4</v>
      </c>
      <c r="F62" s="87">
        <f>ORÇAMENTO!F62</f>
        <v>6.6915000000000004</v>
      </c>
      <c r="G62" s="458">
        <f t="shared" si="16"/>
        <v>1160.3061</v>
      </c>
      <c r="I62" s="320"/>
      <c r="J62" s="303"/>
      <c r="K62" s="302"/>
      <c r="L62" s="303"/>
      <c r="M62" s="302"/>
      <c r="N62" s="303"/>
      <c r="O62" s="302"/>
      <c r="P62" s="303"/>
      <c r="Q62" s="279"/>
      <c r="R62" s="280"/>
      <c r="S62" s="279"/>
      <c r="T62" s="280"/>
      <c r="U62" s="279"/>
      <c r="V62" s="280"/>
      <c r="W62" s="281">
        <v>0.5</v>
      </c>
      <c r="X62" s="282">
        <f t="shared" si="17"/>
        <v>580.15305000000001</v>
      </c>
      <c r="Y62" s="281">
        <v>0.5</v>
      </c>
      <c r="Z62" s="282">
        <f t="shared" si="18"/>
        <v>580.15305000000001</v>
      </c>
      <c r="AA62" s="279"/>
      <c r="AB62" s="280"/>
      <c r="AC62" s="280"/>
      <c r="AD62" s="280"/>
      <c r="AE62" s="280"/>
      <c r="AF62" s="280"/>
      <c r="AG62" s="281">
        <f t="shared" si="15"/>
        <v>1</v>
      </c>
      <c r="AH62" s="308">
        <f t="shared" si="15"/>
        <v>1160.3061</v>
      </c>
    </row>
    <row r="63" spans="1:34">
      <c r="A63" s="462" t="s">
        <v>351</v>
      </c>
      <c r="B63" s="83" t="s">
        <v>224</v>
      </c>
      <c r="C63" s="84" t="s">
        <v>225</v>
      </c>
      <c r="D63" s="85" t="s">
        <v>63</v>
      </c>
      <c r="E63" s="86">
        <f>ORÇAMENTO!E63</f>
        <v>74.8</v>
      </c>
      <c r="F63" s="87">
        <f>ORÇAMENTO!F63</f>
        <v>6.4184999999999999</v>
      </c>
      <c r="G63" s="458">
        <f t="shared" si="16"/>
        <v>480.10379999999998</v>
      </c>
      <c r="I63" s="307"/>
      <c r="J63" s="280"/>
      <c r="K63" s="279"/>
      <c r="L63" s="280"/>
      <c r="M63" s="279"/>
      <c r="N63" s="280"/>
      <c r="O63" s="279"/>
      <c r="P63" s="280"/>
      <c r="Q63" s="279"/>
      <c r="R63" s="280"/>
      <c r="S63" s="279"/>
      <c r="T63" s="280"/>
      <c r="U63" s="279"/>
      <c r="V63" s="280"/>
      <c r="W63" s="283">
        <v>0.5</v>
      </c>
      <c r="X63" s="284">
        <f t="shared" si="17"/>
        <v>240.05189999999999</v>
      </c>
      <c r="Y63" s="283">
        <v>0.5</v>
      </c>
      <c r="Z63" s="284">
        <f t="shared" si="18"/>
        <v>240.05189999999999</v>
      </c>
      <c r="AA63" s="279"/>
      <c r="AB63" s="280"/>
      <c r="AC63" s="280"/>
      <c r="AD63" s="280"/>
      <c r="AE63" s="280"/>
      <c r="AF63" s="280"/>
      <c r="AG63" s="283">
        <f t="shared" si="15"/>
        <v>1</v>
      </c>
      <c r="AH63" s="309">
        <f t="shared" si="15"/>
        <v>480.10379999999998</v>
      </c>
    </row>
    <row r="64" spans="1:34" ht="24">
      <c r="A64" s="462" t="s">
        <v>352</v>
      </c>
      <c r="B64" s="83">
        <v>11964</v>
      </c>
      <c r="C64" s="84" t="s">
        <v>226</v>
      </c>
      <c r="D64" s="85" t="s">
        <v>128</v>
      </c>
      <c r="E64" s="86">
        <f>ORÇAMENTO!E64</f>
        <v>140</v>
      </c>
      <c r="F64" s="87">
        <f>ORÇAMENTO!F64</f>
        <v>1.26</v>
      </c>
      <c r="G64" s="458">
        <f t="shared" si="16"/>
        <v>176.4</v>
      </c>
      <c r="I64" s="307"/>
      <c r="J64" s="280"/>
      <c r="K64" s="279"/>
      <c r="L64" s="280"/>
      <c r="M64" s="279"/>
      <c r="N64" s="280"/>
      <c r="O64" s="279"/>
      <c r="P64" s="280"/>
      <c r="Q64" s="279"/>
      <c r="R64" s="280"/>
      <c r="S64" s="279"/>
      <c r="T64" s="280"/>
      <c r="U64" s="279"/>
      <c r="V64" s="280"/>
      <c r="W64" s="281">
        <v>0.5</v>
      </c>
      <c r="X64" s="282">
        <f t="shared" si="17"/>
        <v>88.2</v>
      </c>
      <c r="Y64" s="281">
        <v>0.5</v>
      </c>
      <c r="Z64" s="282">
        <f t="shared" si="18"/>
        <v>88.2</v>
      </c>
      <c r="AA64" s="277"/>
      <c r="AB64" s="278"/>
      <c r="AC64" s="278"/>
      <c r="AD64" s="278"/>
      <c r="AE64" s="278"/>
      <c r="AF64" s="278"/>
      <c r="AG64" s="281">
        <f t="shared" si="15"/>
        <v>1</v>
      </c>
      <c r="AH64" s="308">
        <f t="shared" si="15"/>
        <v>176.4</v>
      </c>
    </row>
    <row r="65" spans="1:34" ht="36">
      <c r="A65" s="462" t="s">
        <v>353</v>
      </c>
      <c r="B65" s="83">
        <v>83736</v>
      </c>
      <c r="C65" s="84" t="s">
        <v>139</v>
      </c>
      <c r="D65" s="85" t="s">
        <v>25</v>
      </c>
      <c r="E65" s="86">
        <f>ORÇAMENTO!E65</f>
        <v>5</v>
      </c>
      <c r="F65" s="87">
        <f>ORÇAMENTO!F65</f>
        <v>172.9</v>
      </c>
      <c r="G65" s="458">
        <f t="shared" si="16"/>
        <v>864.5</v>
      </c>
      <c r="I65" s="307"/>
      <c r="J65" s="280"/>
      <c r="K65" s="279"/>
      <c r="L65" s="280"/>
      <c r="M65" s="279"/>
      <c r="N65" s="280"/>
      <c r="O65" s="279"/>
      <c r="P65" s="280"/>
      <c r="Q65" s="279"/>
      <c r="R65" s="280"/>
      <c r="S65" s="279"/>
      <c r="T65" s="280"/>
      <c r="U65" s="279"/>
      <c r="V65" s="280"/>
      <c r="W65" s="283">
        <v>0.5</v>
      </c>
      <c r="X65" s="284">
        <f t="shared" si="17"/>
        <v>432.25</v>
      </c>
      <c r="Y65" s="283">
        <v>0.5</v>
      </c>
      <c r="Z65" s="284">
        <f t="shared" si="18"/>
        <v>432.25</v>
      </c>
      <c r="AA65" s="277"/>
      <c r="AB65" s="278"/>
      <c r="AC65" s="278"/>
      <c r="AD65" s="278"/>
      <c r="AE65" s="278"/>
      <c r="AF65" s="278"/>
      <c r="AG65" s="283">
        <f t="shared" si="15"/>
        <v>1</v>
      </c>
      <c r="AH65" s="309">
        <f t="shared" si="15"/>
        <v>864.5</v>
      </c>
    </row>
    <row r="66" spans="1:34">
      <c r="A66" s="462" t="s">
        <v>524</v>
      </c>
      <c r="B66" s="83" t="s">
        <v>477</v>
      </c>
      <c r="C66" s="84" t="s">
        <v>229</v>
      </c>
      <c r="D66" s="85" t="s">
        <v>230</v>
      </c>
      <c r="E66" s="86">
        <f>ORÇAMENTO!E66</f>
        <v>5</v>
      </c>
      <c r="F66" s="87">
        <f>ORÇAMENTO!F66</f>
        <v>24.89</v>
      </c>
      <c r="G66" s="458">
        <f t="shared" si="16"/>
        <v>124.45</v>
      </c>
      <c r="I66" s="307"/>
      <c r="J66" s="280"/>
      <c r="K66" s="279"/>
      <c r="L66" s="280"/>
      <c r="M66" s="279"/>
      <c r="N66" s="280"/>
      <c r="O66" s="279"/>
      <c r="P66" s="280"/>
      <c r="Q66" s="279"/>
      <c r="R66" s="280"/>
      <c r="S66" s="279"/>
      <c r="T66" s="280"/>
      <c r="U66" s="279"/>
      <c r="V66" s="280"/>
      <c r="W66" s="281">
        <v>0.5</v>
      </c>
      <c r="X66" s="282">
        <f t="shared" si="17"/>
        <v>62.225000000000001</v>
      </c>
      <c r="Y66" s="281">
        <v>0.5</v>
      </c>
      <c r="Z66" s="282">
        <f t="shared" si="18"/>
        <v>62.225000000000001</v>
      </c>
      <c r="AA66" s="277"/>
      <c r="AB66" s="278"/>
      <c r="AC66" s="278"/>
      <c r="AD66" s="278"/>
      <c r="AE66" s="278"/>
      <c r="AF66" s="278"/>
      <c r="AG66" s="281">
        <f t="shared" si="15"/>
        <v>1</v>
      </c>
      <c r="AH66" s="308">
        <f t="shared" si="15"/>
        <v>124.45</v>
      </c>
    </row>
    <row r="67" spans="1:34">
      <c r="A67" s="230">
        <v>5</v>
      </c>
      <c r="B67" s="226"/>
      <c r="C67" s="227" t="s">
        <v>31</v>
      </c>
      <c r="D67" s="225"/>
      <c r="E67" s="232"/>
      <c r="F67" s="237"/>
      <c r="G67" s="236"/>
      <c r="I67" s="638" t="s">
        <v>31</v>
      </c>
      <c r="J67" s="639"/>
      <c r="K67" s="639"/>
      <c r="L67" s="639"/>
      <c r="M67" s="639"/>
      <c r="N67" s="639"/>
      <c r="O67" s="639"/>
      <c r="P67" s="639"/>
      <c r="Q67" s="639"/>
      <c r="R67" s="639"/>
      <c r="S67" s="639"/>
      <c r="T67" s="639"/>
      <c r="U67" s="639"/>
      <c r="V67" s="639"/>
      <c r="W67" s="639"/>
      <c r="X67" s="639"/>
      <c r="Y67" s="639"/>
      <c r="Z67" s="639"/>
      <c r="AA67" s="639"/>
      <c r="AB67" s="639"/>
      <c r="AC67" s="639"/>
      <c r="AD67" s="639"/>
      <c r="AE67" s="639"/>
      <c r="AF67" s="640"/>
      <c r="AG67" s="300"/>
      <c r="AH67" s="319"/>
    </row>
    <row r="68" spans="1:34">
      <c r="A68" s="455" t="s">
        <v>579</v>
      </c>
      <c r="B68" s="90"/>
      <c r="C68" s="123" t="s">
        <v>275</v>
      </c>
      <c r="D68" s="117"/>
      <c r="E68" s="118"/>
      <c r="F68" s="119"/>
      <c r="G68" s="461"/>
      <c r="I68" s="638" t="s">
        <v>275</v>
      </c>
      <c r="J68" s="639"/>
      <c r="K68" s="639"/>
      <c r="L68" s="639"/>
      <c r="M68" s="639"/>
      <c r="N68" s="639"/>
      <c r="O68" s="639"/>
      <c r="P68" s="639"/>
      <c r="Q68" s="639"/>
      <c r="R68" s="639"/>
      <c r="S68" s="639"/>
      <c r="T68" s="639"/>
      <c r="U68" s="639"/>
      <c r="V68" s="639"/>
      <c r="W68" s="639"/>
      <c r="X68" s="639"/>
      <c r="Y68" s="639"/>
      <c r="Z68" s="639"/>
      <c r="AA68" s="639"/>
      <c r="AB68" s="639"/>
      <c r="AC68" s="639"/>
      <c r="AD68" s="639"/>
      <c r="AE68" s="639"/>
      <c r="AF68" s="640"/>
      <c r="AG68" s="300"/>
      <c r="AH68" s="319"/>
    </row>
    <row r="69" spans="1:34" ht="24">
      <c r="A69" s="457" t="s">
        <v>580</v>
      </c>
      <c r="B69" s="341" t="s">
        <v>478</v>
      </c>
      <c r="C69" s="343" t="s">
        <v>253</v>
      </c>
      <c r="D69" s="85" t="s">
        <v>26</v>
      </c>
      <c r="E69" s="86">
        <f>ORÇAMENTO!E69</f>
        <v>28.3</v>
      </c>
      <c r="F69" s="87">
        <f>ORÇAMENTO!F69</f>
        <v>98.87</v>
      </c>
      <c r="G69" s="458">
        <f t="shared" ref="G69" si="19">E69*F69</f>
        <v>2798.0210000000002</v>
      </c>
      <c r="I69" s="321"/>
      <c r="J69" s="305"/>
      <c r="K69" s="304"/>
      <c r="L69" s="305"/>
      <c r="M69" s="279"/>
      <c r="N69" s="280"/>
      <c r="O69" s="279"/>
      <c r="P69" s="280"/>
      <c r="Q69" s="295"/>
      <c r="R69" s="296"/>
      <c r="S69" s="277"/>
      <c r="T69" s="278"/>
      <c r="U69" s="277"/>
      <c r="V69" s="278"/>
      <c r="W69" s="283">
        <v>0.5</v>
      </c>
      <c r="X69" s="284">
        <f>G69*W69</f>
        <v>1399.0105000000001</v>
      </c>
      <c r="Y69" s="283">
        <v>0.5</v>
      </c>
      <c r="Z69" s="284">
        <f>Y69*G69</f>
        <v>1399.0105000000001</v>
      </c>
      <c r="AA69" s="277"/>
      <c r="AB69" s="278"/>
      <c r="AC69" s="278"/>
      <c r="AD69" s="278"/>
      <c r="AE69" s="278"/>
      <c r="AF69" s="278"/>
      <c r="AG69" s="283">
        <f t="shared" ref="AG69:AH76" si="20">I69+K69+M69+O69+Q69+S69+U69+W69+Y69+AA69</f>
        <v>1</v>
      </c>
      <c r="AH69" s="309">
        <f t="shared" si="20"/>
        <v>2798.0210000000002</v>
      </c>
    </row>
    <row r="70" spans="1:34">
      <c r="A70" s="457" t="s">
        <v>581</v>
      </c>
      <c r="B70" s="349" t="s">
        <v>259</v>
      </c>
      <c r="C70" s="343" t="s">
        <v>252</v>
      </c>
      <c r="D70" s="85" t="s">
        <v>25</v>
      </c>
      <c r="E70" s="86">
        <f>ORÇAMENTO!E70</f>
        <v>96.22</v>
      </c>
      <c r="F70" s="87">
        <f>ORÇAMENTO!F70</f>
        <v>45.01</v>
      </c>
      <c r="G70" s="458">
        <f t="shared" ref="G70:G76" si="21">E70*F70</f>
        <v>4330.8621999999996</v>
      </c>
      <c r="I70" s="321"/>
      <c r="J70" s="305"/>
      <c r="K70" s="304"/>
      <c r="L70" s="305"/>
      <c r="M70" s="279"/>
      <c r="N70" s="280"/>
      <c r="O70" s="279"/>
      <c r="P70" s="280"/>
      <c r="Q70" s="277"/>
      <c r="R70" s="278"/>
      <c r="S70" s="277"/>
      <c r="T70" s="278"/>
      <c r="U70" s="277"/>
      <c r="V70" s="278"/>
      <c r="W70" s="281">
        <v>0.5</v>
      </c>
      <c r="X70" s="282">
        <f>G70*W70</f>
        <v>2165.4310999999998</v>
      </c>
      <c r="Y70" s="281">
        <v>0.5</v>
      </c>
      <c r="Z70" s="282">
        <f>Y70*G70</f>
        <v>2165.4310999999998</v>
      </c>
      <c r="AA70" s="277"/>
      <c r="AB70" s="278"/>
      <c r="AC70" s="278"/>
      <c r="AD70" s="278"/>
      <c r="AE70" s="278"/>
      <c r="AF70" s="278"/>
      <c r="AG70" s="281">
        <f t="shared" si="20"/>
        <v>1</v>
      </c>
      <c r="AH70" s="308">
        <f t="shared" si="20"/>
        <v>4330.8621999999996</v>
      </c>
    </row>
    <row r="71" spans="1:34">
      <c r="A71" s="457" t="s">
        <v>582</v>
      </c>
      <c r="B71" s="341">
        <v>94263</v>
      </c>
      <c r="C71" s="343" t="s">
        <v>254</v>
      </c>
      <c r="D71" s="85" t="s">
        <v>26</v>
      </c>
      <c r="E71" s="86">
        <f>ORÇAMENTO!E71</f>
        <v>56.6</v>
      </c>
      <c r="F71" s="87">
        <f>ORÇAMENTO!F71</f>
        <v>20.59</v>
      </c>
      <c r="G71" s="458">
        <f t="shared" si="21"/>
        <v>1165.394</v>
      </c>
      <c r="I71" s="315"/>
      <c r="J71" s="278"/>
      <c r="K71" s="277"/>
      <c r="L71" s="278"/>
      <c r="M71" s="279"/>
      <c r="N71" s="280"/>
      <c r="O71" s="279"/>
      <c r="P71" s="280"/>
      <c r="Q71" s="295"/>
      <c r="R71" s="296"/>
      <c r="S71" s="295"/>
      <c r="T71" s="296"/>
      <c r="U71" s="277"/>
      <c r="V71" s="278"/>
      <c r="W71" s="283">
        <v>0.5</v>
      </c>
      <c r="X71" s="284">
        <f>G71*W71</f>
        <v>582.697</v>
      </c>
      <c r="Y71" s="283">
        <v>0.5</v>
      </c>
      <c r="Z71" s="284">
        <f>Y71*G71</f>
        <v>582.697</v>
      </c>
      <c r="AA71" s="277"/>
      <c r="AB71" s="278"/>
      <c r="AC71" s="278"/>
      <c r="AD71" s="278"/>
      <c r="AE71" s="278"/>
      <c r="AF71" s="278"/>
      <c r="AG71" s="283">
        <f t="shared" si="20"/>
        <v>1</v>
      </c>
      <c r="AH71" s="309">
        <f t="shared" si="20"/>
        <v>1165.394</v>
      </c>
    </row>
    <row r="72" spans="1:34" ht="22.5">
      <c r="A72" s="457" t="s">
        <v>583</v>
      </c>
      <c r="B72" s="83" t="s">
        <v>479</v>
      </c>
      <c r="C72" s="343" t="s">
        <v>276</v>
      </c>
      <c r="D72" s="85" t="s">
        <v>25</v>
      </c>
      <c r="E72" s="86">
        <f>ORÇAMENTO!E72</f>
        <v>1.5</v>
      </c>
      <c r="F72" s="87">
        <f>ORÇAMENTO!F72</f>
        <v>61.95</v>
      </c>
      <c r="G72" s="458">
        <f t="shared" si="21"/>
        <v>92.925000000000011</v>
      </c>
      <c r="I72" s="314"/>
      <c r="J72" s="286"/>
      <c r="K72" s="285"/>
      <c r="L72" s="286"/>
      <c r="M72" s="279"/>
      <c r="N72" s="280"/>
      <c r="O72" s="279"/>
      <c r="P72" s="280"/>
      <c r="Q72" s="295"/>
      <c r="R72" s="296"/>
      <c r="S72" s="295"/>
      <c r="T72" s="296"/>
      <c r="U72" s="285"/>
      <c r="V72" s="286"/>
      <c r="W72" s="285"/>
      <c r="X72" s="286"/>
      <c r="Y72" s="281">
        <v>1</v>
      </c>
      <c r="Z72" s="282">
        <f>Y72*G72</f>
        <v>92.925000000000011</v>
      </c>
      <c r="AA72" s="285"/>
      <c r="AB72" s="286"/>
      <c r="AC72" s="286"/>
      <c r="AD72" s="286"/>
      <c r="AE72" s="286"/>
      <c r="AF72" s="286"/>
      <c r="AG72" s="281">
        <f t="shared" si="20"/>
        <v>1</v>
      </c>
      <c r="AH72" s="308">
        <f t="shared" si="20"/>
        <v>92.925000000000011</v>
      </c>
    </row>
    <row r="73" spans="1:34">
      <c r="A73" s="457" t="s">
        <v>584</v>
      </c>
      <c r="B73" s="341" t="s">
        <v>258</v>
      </c>
      <c r="C73" s="343" t="s">
        <v>257</v>
      </c>
      <c r="D73" s="85" t="s">
        <v>25</v>
      </c>
      <c r="E73" s="86">
        <f>ORÇAMENTO!E73</f>
        <v>96.22</v>
      </c>
      <c r="F73" s="87">
        <f>ORÇAMENTO!F73</f>
        <v>16.28</v>
      </c>
      <c r="G73" s="458">
        <f t="shared" si="21"/>
        <v>1566.4616000000001</v>
      </c>
      <c r="I73" s="314"/>
      <c r="J73" s="286"/>
      <c r="K73" s="285"/>
      <c r="L73" s="286"/>
      <c r="M73" s="279"/>
      <c r="N73" s="280"/>
      <c r="O73" s="279"/>
      <c r="P73" s="280"/>
      <c r="Q73" s="295"/>
      <c r="R73" s="296"/>
      <c r="S73" s="295"/>
      <c r="T73" s="296"/>
      <c r="U73" s="285"/>
      <c r="V73" s="286"/>
      <c r="W73" s="285"/>
      <c r="X73" s="286"/>
      <c r="Y73" s="285"/>
      <c r="Z73" s="286"/>
      <c r="AA73" s="283">
        <v>1</v>
      </c>
      <c r="AB73" s="284">
        <f>AA73*G73</f>
        <v>1566.4616000000001</v>
      </c>
      <c r="AC73" s="284"/>
      <c r="AD73" s="284"/>
      <c r="AE73" s="284"/>
      <c r="AF73" s="284"/>
      <c r="AG73" s="283">
        <f t="shared" si="20"/>
        <v>1</v>
      </c>
      <c r="AH73" s="309">
        <f t="shared" si="20"/>
        <v>1566.4616000000001</v>
      </c>
    </row>
    <row r="74" spans="1:34" ht="60">
      <c r="A74" s="457" t="s">
        <v>585</v>
      </c>
      <c r="B74" s="341" t="s">
        <v>260</v>
      </c>
      <c r="C74" s="354" t="s">
        <v>261</v>
      </c>
      <c r="D74" s="85" t="s">
        <v>25</v>
      </c>
      <c r="E74" s="86">
        <f>ORÇAMENTO!E74</f>
        <v>33.4</v>
      </c>
      <c r="F74" s="87">
        <f>ORÇAMENTO!F74</f>
        <v>15.09</v>
      </c>
      <c r="G74" s="458">
        <f t="shared" si="21"/>
        <v>504.00599999999997</v>
      </c>
      <c r="I74" s="315"/>
      <c r="J74" s="278"/>
      <c r="K74" s="277"/>
      <c r="L74" s="278"/>
      <c r="M74" s="279"/>
      <c r="N74" s="280"/>
      <c r="O74" s="279"/>
      <c r="P74" s="280"/>
      <c r="Q74" s="277"/>
      <c r="R74" s="278"/>
      <c r="S74" s="277"/>
      <c r="T74" s="278"/>
      <c r="U74" s="277"/>
      <c r="V74" s="278"/>
      <c r="W74" s="279"/>
      <c r="X74" s="280"/>
      <c r="Y74" s="281">
        <v>1</v>
      </c>
      <c r="Z74" s="282">
        <f>Y74*G74</f>
        <v>504.00599999999997</v>
      </c>
      <c r="AA74" s="277"/>
      <c r="AB74" s="278"/>
      <c r="AC74" s="278"/>
      <c r="AD74" s="278"/>
      <c r="AE74" s="278"/>
      <c r="AF74" s="278"/>
      <c r="AG74" s="281">
        <f t="shared" si="20"/>
        <v>1</v>
      </c>
      <c r="AH74" s="308">
        <f t="shared" si="20"/>
        <v>504.00599999999997</v>
      </c>
    </row>
    <row r="75" spans="1:34" ht="24">
      <c r="A75" s="457" t="s">
        <v>586</v>
      </c>
      <c r="B75" s="341">
        <v>88423</v>
      </c>
      <c r="C75" s="354" t="s">
        <v>285</v>
      </c>
      <c r="D75" s="85" t="s">
        <v>25</v>
      </c>
      <c r="E75" s="86">
        <f>ORÇAMENTO!E76</f>
        <v>814.5</v>
      </c>
      <c r="F75" s="87">
        <f>ORÇAMENTO!F76</f>
        <v>14.59</v>
      </c>
      <c r="G75" s="458">
        <f t="shared" si="21"/>
        <v>11883.555</v>
      </c>
      <c r="I75" s="315"/>
      <c r="J75" s="278"/>
      <c r="K75" s="277"/>
      <c r="L75" s="278"/>
      <c r="M75" s="277"/>
      <c r="N75" s="278"/>
      <c r="O75" s="277"/>
      <c r="P75" s="278"/>
      <c r="Q75" s="277"/>
      <c r="R75" s="278"/>
      <c r="S75" s="277"/>
      <c r="T75" s="278"/>
      <c r="U75" s="277"/>
      <c r="V75" s="278"/>
      <c r="W75" s="279"/>
      <c r="X75" s="280"/>
      <c r="Y75" s="283">
        <v>0.5</v>
      </c>
      <c r="Z75" s="284">
        <f>Y75*G75</f>
        <v>5941.7775000000001</v>
      </c>
      <c r="AA75" s="283">
        <v>0.5</v>
      </c>
      <c r="AB75" s="284">
        <f>AA75*G75</f>
        <v>5941.7775000000001</v>
      </c>
      <c r="AC75" s="280"/>
      <c r="AD75" s="280"/>
      <c r="AE75" s="280"/>
      <c r="AF75" s="280"/>
      <c r="AG75" s="283">
        <f t="shared" si="20"/>
        <v>1</v>
      </c>
      <c r="AH75" s="309">
        <f t="shared" si="20"/>
        <v>11883.555</v>
      </c>
    </row>
    <row r="76" spans="1:34" ht="36">
      <c r="A76" s="457" t="s">
        <v>587</v>
      </c>
      <c r="B76" s="341">
        <v>88423</v>
      </c>
      <c r="C76" s="343" t="s">
        <v>283</v>
      </c>
      <c r="D76" s="85" t="s">
        <v>25</v>
      </c>
      <c r="E76" s="86">
        <f>ORÇAMENTO!E77</f>
        <v>301.02</v>
      </c>
      <c r="F76" s="87">
        <f>ORÇAMENTO!F77</f>
        <v>14.59</v>
      </c>
      <c r="G76" s="458">
        <f t="shared" si="21"/>
        <v>4391.8818000000001</v>
      </c>
      <c r="I76" s="307"/>
      <c r="J76" s="280"/>
      <c r="K76" s="279"/>
      <c r="L76" s="280"/>
      <c r="M76" s="279"/>
      <c r="N76" s="280"/>
      <c r="O76" s="279"/>
      <c r="P76" s="280"/>
      <c r="Q76" s="279"/>
      <c r="R76" s="280"/>
      <c r="S76" s="279"/>
      <c r="T76" s="280"/>
      <c r="U76" s="279"/>
      <c r="V76" s="280"/>
      <c r="W76" s="279"/>
      <c r="X76" s="280"/>
      <c r="Y76" s="281">
        <v>0.5</v>
      </c>
      <c r="Z76" s="282">
        <f>Y76*G76</f>
        <v>2195.9409000000001</v>
      </c>
      <c r="AA76" s="281">
        <v>0.5</v>
      </c>
      <c r="AB76" s="282">
        <f>AA76*G76</f>
        <v>2195.9409000000001</v>
      </c>
      <c r="AC76" s="280"/>
      <c r="AD76" s="280"/>
      <c r="AE76" s="280"/>
      <c r="AF76" s="280"/>
      <c r="AG76" s="281">
        <f t="shared" si="20"/>
        <v>1</v>
      </c>
      <c r="AH76" s="308">
        <f t="shared" si="20"/>
        <v>4391.8818000000001</v>
      </c>
    </row>
    <row r="77" spans="1:34">
      <c r="A77" s="231">
        <v>6</v>
      </c>
      <c r="B77" s="234"/>
      <c r="C77" s="229" t="s">
        <v>33</v>
      </c>
      <c r="D77" s="228"/>
      <c r="E77" s="233"/>
      <c r="F77" s="238"/>
      <c r="G77" s="235"/>
      <c r="I77" s="638" t="s">
        <v>33</v>
      </c>
      <c r="J77" s="639"/>
      <c r="K77" s="639"/>
      <c r="L77" s="639"/>
      <c r="M77" s="639"/>
      <c r="N77" s="639"/>
      <c r="O77" s="639"/>
      <c r="P77" s="639"/>
      <c r="Q77" s="639"/>
      <c r="R77" s="639"/>
      <c r="S77" s="639"/>
      <c r="T77" s="639"/>
      <c r="U77" s="639"/>
      <c r="V77" s="639"/>
      <c r="W77" s="639"/>
      <c r="X77" s="639"/>
      <c r="Y77" s="639"/>
      <c r="Z77" s="639"/>
      <c r="AA77" s="639"/>
      <c r="AB77" s="639"/>
      <c r="AC77" s="639"/>
      <c r="AD77" s="639"/>
      <c r="AE77" s="639"/>
      <c r="AF77" s="640"/>
      <c r="AG77" s="300"/>
      <c r="AH77" s="319"/>
    </row>
    <row r="78" spans="1:34" ht="24">
      <c r="A78" s="457" t="s">
        <v>588</v>
      </c>
      <c r="B78" s="341">
        <v>85178</v>
      </c>
      <c r="C78" s="343" t="s">
        <v>413</v>
      </c>
      <c r="D78" s="85" t="s">
        <v>128</v>
      </c>
      <c r="E78" s="86">
        <f>ORÇAMENTO!E79</f>
        <v>10</v>
      </c>
      <c r="F78" s="87">
        <f>ORÇAMENTO!F79</f>
        <v>58.71</v>
      </c>
      <c r="G78" s="458">
        <f>E78*F78</f>
        <v>587.1</v>
      </c>
      <c r="I78" s="315"/>
      <c r="J78" s="280"/>
      <c r="K78" s="279"/>
      <c r="L78" s="280"/>
      <c r="M78" s="279"/>
      <c r="N78" s="280"/>
      <c r="O78" s="279"/>
      <c r="P78" s="280"/>
      <c r="Q78" s="279"/>
      <c r="R78" s="280"/>
      <c r="S78" s="279"/>
      <c r="T78" s="280"/>
      <c r="U78" s="279"/>
      <c r="V78" s="280"/>
      <c r="W78" s="279"/>
      <c r="X78" s="280"/>
      <c r="Y78" s="283">
        <v>1</v>
      </c>
      <c r="Z78" s="284">
        <f>G78*Y78</f>
        <v>587.1</v>
      </c>
      <c r="AA78" s="279"/>
      <c r="AB78" s="280"/>
      <c r="AC78" s="280"/>
      <c r="AD78" s="280"/>
      <c r="AE78" s="280"/>
      <c r="AF78" s="280"/>
      <c r="AG78" s="283">
        <f t="shared" ref="AG78:AH81" si="22">I78+K78+M78+O78+Q78+S78+U78+W78+Y78+AA78</f>
        <v>1</v>
      </c>
      <c r="AH78" s="309">
        <f t="shared" si="22"/>
        <v>587.1</v>
      </c>
    </row>
    <row r="79" spans="1:34" ht="36">
      <c r="A79" s="457" t="s">
        <v>416</v>
      </c>
      <c r="B79" s="355" t="s">
        <v>55</v>
      </c>
      <c r="C79" s="343" t="s">
        <v>414</v>
      </c>
      <c r="D79" s="85" t="s">
        <v>25</v>
      </c>
      <c r="E79" s="86">
        <f>ORÇAMENTO!E80</f>
        <v>195</v>
      </c>
      <c r="F79" s="87">
        <f>ORÇAMENTO!F80</f>
        <v>10.43</v>
      </c>
      <c r="G79" s="458">
        <f>E79*F79</f>
        <v>2033.85</v>
      </c>
      <c r="I79" s="315"/>
      <c r="J79" s="280"/>
      <c r="K79" s="279"/>
      <c r="L79" s="280"/>
      <c r="M79" s="279"/>
      <c r="N79" s="280"/>
      <c r="O79" s="279"/>
      <c r="P79" s="280"/>
      <c r="Q79" s="279"/>
      <c r="R79" s="280"/>
      <c r="S79" s="279"/>
      <c r="T79" s="280"/>
      <c r="U79" s="279"/>
      <c r="V79" s="280"/>
      <c r="W79" s="279"/>
      <c r="X79" s="280"/>
      <c r="Y79" s="281">
        <v>0.5</v>
      </c>
      <c r="Z79" s="282">
        <f>G79*Y79</f>
        <v>1016.925</v>
      </c>
      <c r="AA79" s="281">
        <v>0.5</v>
      </c>
      <c r="AB79" s="282">
        <f>G79*AA79</f>
        <v>1016.925</v>
      </c>
      <c r="AC79" s="280"/>
      <c r="AD79" s="280"/>
      <c r="AE79" s="280"/>
      <c r="AF79" s="280"/>
      <c r="AG79" s="281">
        <f t="shared" si="22"/>
        <v>1</v>
      </c>
      <c r="AH79" s="308">
        <f t="shared" si="22"/>
        <v>2033.85</v>
      </c>
    </row>
    <row r="80" spans="1:34">
      <c r="A80" s="455">
        <v>7</v>
      </c>
      <c r="B80" s="90"/>
      <c r="C80" s="123" t="s">
        <v>34</v>
      </c>
      <c r="D80" s="117"/>
      <c r="E80" s="118"/>
      <c r="F80" s="119"/>
      <c r="G80" s="461"/>
      <c r="I80" s="641" t="s">
        <v>34</v>
      </c>
      <c r="J80" s="642"/>
      <c r="K80" s="642"/>
      <c r="L80" s="642"/>
      <c r="M80" s="642"/>
      <c r="N80" s="642"/>
      <c r="O80" s="642"/>
      <c r="P80" s="642"/>
      <c r="Q80" s="642"/>
      <c r="R80" s="642"/>
      <c r="S80" s="642"/>
      <c r="T80" s="642"/>
      <c r="U80" s="642"/>
      <c r="V80" s="642"/>
      <c r="W80" s="642"/>
      <c r="X80" s="642"/>
      <c r="Y80" s="642"/>
      <c r="Z80" s="642"/>
      <c r="AA80" s="642"/>
      <c r="AB80" s="642"/>
      <c r="AC80" s="642"/>
      <c r="AD80" s="642"/>
      <c r="AE80" s="642"/>
      <c r="AF80" s="643"/>
      <c r="AG80" s="300"/>
      <c r="AH80" s="319"/>
    </row>
    <row r="81" spans="1:34" ht="24.75" thickBot="1">
      <c r="A81" s="457" t="s">
        <v>32</v>
      </c>
      <c r="B81" s="83">
        <v>9537</v>
      </c>
      <c r="C81" s="356" t="s">
        <v>419</v>
      </c>
      <c r="D81" s="85" t="s">
        <v>25</v>
      </c>
      <c r="E81" s="86">
        <f>ORÇAMENTO!E82</f>
        <v>980</v>
      </c>
      <c r="F81" s="87">
        <f>ORÇAMENTO!F82</f>
        <v>2.11</v>
      </c>
      <c r="G81" s="458">
        <f>F81*E81</f>
        <v>2067.7999999999997</v>
      </c>
      <c r="I81" s="322"/>
      <c r="J81" s="323"/>
      <c r="K81" s="324"/>
      <c r="L81" s="323"/>
      <c r="M81" s="324"/>
      <c r="N81" s="323"/>
      <c r="O81" s="324"/>
      <c r="P81" s="323"/>
      <c r="Q81" s="324"/>
      <c r="R81" s="323"/>
      <c r="S81" s="324"/>
      <c r="T81" s="323"/>
      <c r="U81" s="324"/>
      <c r="V81" s="323"/>
      <c r="W81" s="324"/>
      <c r="X81" s="323"/>
      <c r="Y81" s="324"/>
      <c r="Z81" s="323"/>
      <c r="AA81" s="325">
        <v>1</v>
      </c>
      <c r="AB81" s="326">
        <f>AA81*G81</f>
        <v>2067.7999999999997</v>
      </c>
      <c r="AC81" s="323"/>
      <c r="AD81" s="323"/>
      <c r="AE81" s="323"/>
      <c r="AF81" s="323"/>
      <c r="AG81" s="325">
        <f t="shared" si="22"/>
        <v>1</v>
      </c>
      <c r="AH81" s="327">
        <f t="shared" si="22"/>
        <v>2067.7999999999997</v>
      </c>
    </row>
    <row r="82" spans="1:34">
      <c r="A82" s="644">
        <v>8</v>
      </c>
      <c r="B82" s="610"/>
      <c r="C82" s="609" t="s">
        <v>36</v>
      </c>
      <c r="D82" s="609"/>
      <c r="E82" s="609"/>
      <c r="F82" s="609"/>
      <c r="G82" s="645">
        <f>SUM(G8:G81)</f>
        <v>177399.34291770667</v>
      </c>
      <c r="I82" s="646" t="s">
        <v>485</v>
      </c>
      <c r="J82" s="647"/>
      <c r="K82" s="648" t="s">
        <v>486</v>
      </c>
      <c r="L82" s="647"/>
      <c r="M82" s="648" t="s">
        <v>487</v>
      </c>
      <c r="N82" s="647"/>
      <c r="O82" s="648" t="s">
        <v>488</v>
      </c>
      <c r="P82" s="649"/>
      <c r="Q82" s="646" t="s">
        <v>489</v>
      </c>
      <c r="R82" s="647"/>
      <c r="S82" s="648" t="s">
        <v>490</v>
      </c>
      <c r="T82" s="647"/>
      <c r="U82" s="648" t="s">
        <v>491</v>
      </c>
      <c r="V82" s="647"/>
      <c r="W82" s="648" t="s">
        <v>492</v>
      </c>
      <c r="X82" s="649"/>
      <c r="Y82" s="646" t="s">
        <v>493</v>
      </c>
      <c r="Z82" s="647"/>
      <c r="AA82" s="648" t="s">
        <v>494</v>
      </c>
      <c r="AB82" s="649"/>
      <c r="AC82" s="392"/>
      <c r="AD82" s="392"/>
      <c r="AE82" s="392"/>
      <c r="AF82" s="393"/>
      <c r="AG82" s="650" t="s">
        <v>497</v>
      </c>
      <c r="AH82" s="651"/>
    </row>
    <row r="83" spans="1:34" ht="15.75" thickBot="1">
      <c r="A83" s="644"/>
      <c r="B83" s="610"/>
      <c r="C83" s="609"/>
      <c r="D83" s="609"/>
      <c r="E83" s="609"/>
      <c r="F83" s="609"/>
      <c r="G83" s="645"/>
      <c r="I83" s="652">
        <f>SUM(J8:J81)</f>
        <v>11264.593205000003</v>
      </c>
      <c r="J83" s="653"/>
      <c r="K83" s="652">
        <f t="shared" ref="K83" si="23">SUM(L8:L81)</f>
        <v>7430.4014466666677</v>
      </c>
      <c r="L83" s="653"/>
      <c r="M83" s="652">
        <f t="shared" ref="M83" si="24">SUM(N8:N81)</f>
        <v>9535.3538466666669</v>
      </c>
      <c r="N83" s="653"/>
      <c r="O83" s="652">
        <f t="shared" ref="O83" si="25">SUM(P8:P81)</f>
        <v>7308.20658</v>
      </c>
      <c r="P83" s="653"/>
      <c r="Q83" s="652">
        <f t="shared" ref="Q83" si="26">SUM(R8:R81)</f>
        <v>7660.2094050000005</v>
      </c>
      <c r="R83" s="653"/>
      <c r="S83" s="652">
        <f t="shared" ref="S83" si="27">SUM(T8:T81)</f>
        <v>17529.336416000002</v>
      </c>
      <c r="T83" s="653"/>
      <c r="U83" s="652">
        <f t="shared" ref="U83" si="28">SUM(V8:V81)</f>
        <v>23904.450656000005</v>
      </c>
      <c r="V83" s="653"/>
      <c r="W83" s="652">
        <f t="shared" ref="W83" si="29">SUM(X8:X81)</f>
        <v>30290.345191186665</v>
      </c>
      <c r="X83" s="653"/>
      <c r="Y83" s="652">
        <f t="shared" ref="Y83" si="30">SUM(Z8:Z81)</f>
        <v>42164.963366186668</v>
      </c>
      <c r="Z83" s="653"/>
      <c r="AA83" s="652">
        <f t="shared" ref="AA83" si="31">SUM(AB8:AB81)</f>
        <v>20311.482805</v>
      </c>
      <c r="AB83" s="653"/>
      <c r="AC83" s="394"/>
      <c r="AD83" s="394"/>
      <c r="AE83" s="394"/>
      <c r="AF83" s="395"/>
      <c r="AG83" s="396" t="s">
        <v>498</v>
      </c>
      <c r="AH83" s="397">
        <f>SUM(AH8:AH81)</f>
        <v>177399.34291770667</v>
      </c>
    </row>
    <row r="84" spans="1:34">
      <c r="A84" s="644">
        <v>9</v>
      </c>
      <c r="B84" s="610"/>
      <c r="C84" s="609" t="s">
        <v>37</v>
      </c>
      <c r="D84" s="612">
        <v>0.2049</v>
      </c>
      <c r="E84" s="612"/>
      <c r="F84" s="612"/>
      <c r="G84" s="645">
        <f>G82*D84</f>
        <v>36349.125363838095</v>
      </c>
      <c r="I84" s="654" t="s">
        <v>499</v>
      </c>
      <c r="J84" s="655"/>
      <c r="K84" s="655"/>
      <c r="L84" s="656"/>
      <c r="M84" s="666" t="s">
        <v>500</v>
      </c>
      <c r="N84" s="658"/>
      <c r="O84" s="659">
        <f>I83+K83+M83+O83</f>
        <v>35538.555078333338</v>
      </c>
      <c r="P84" s="660"/>
      <c r="Q84" s="654" t="s">
        <v>501</v>
      </c>
      <c r="R84" s="655"/>
      <c r="S84" s="655"/>
      <c r="T84" s="656"/>
      <c r="U84" s="657" t="s">
        <v>500</v>
      </c>
      <c r="V84" s="658"/>
      <c r="W84" s="659">
        <f>Q83+S83+U83+W83</f>
        <v>79384.34166818668</v>
      </c>
      <c r="X84" s="660"/>
      <c r="Y84" s="667" t="s">
        <v>502</v>
      </c>
      <c r="Z84" s="655"/>
      <c r="AA84" s="655"/>
      <c r="AB84" s="656"/>
      <c r="AC84" s="657" t="s">
        <v>500</v>
      </c>
      <c r="AD84" s="658"/>
      <c r="AE84" s="659">
        <f>AA83+Y83</f>
        <v>62476.446171186668</v>
      </c>
      <c r="AF84" s="660"/>
      <c r="AG84" s="398" t="s">
        <v>503</v>
      </c>
      <c r="AH84" s="397">
        <f>AH83*D84</f>
        <v>36349.125363838095</v>
      </c>
    </row>
    <row r="85" spans="1:34" ht="15.75" thickBot="1">
      <c r="A85" s="644"/>
      <c r="B85" s="610"/>
      <c r="C85" s="609"/>
      <c r="D85" s="612"/>
      <c r="E85" s="612"/>
      <c r="F85" s="612"/>
      <c r="G85" s="645"/>
      <c r="I85" s="661" t="s">
        <v>521</v>
      </c>
      <c r="J85" s="662"/>
      <c r="K85" s="662"/>
      <c r="L85" s="663"/>
      <c r="M85" s="399" t="s">
        <v>503</v>
      </c>
      <c r="N85" s="400">
        <f>D84</f>
        <v>0.2049</v>
      </c>
      <c r="O85" s="664">
        <f>O84*N85</f>
        <v>7281.849935550501</v>
      </c>
      <c r="P85" s="665"/>
      <c r="Q85" s="661" t="s">
        <v>521</v>
      </c>
      <c r="R85" s="662"/>
      <c r="S85" s="662"/>
      <c r="T85" s="663"/>
      <c r="U85" s="401" t="s">
        <v>503</v>
      </c>
      <c r="V85" s="400">
        <f>D84</f>
        <v>0.2049</v>
      </c>
      <c r="W85" s="664">
        <f>W84*V85</f>
        <v>16265.85160781145</v>
      </c>
      <c r="X85" s="665"/>
      <c r="Y85" s="661" t="s">
        <v>520</v>
      </c>
      <c r="Z85" s="662"/>
      <c r="AA85" s="662"/>
      <c r="AB85" s="663"/>
      <c r="AC85" s="401" t="s">
        <v>503</v>
      </c>
      <c r="AD85" s="400">
        <f>D84</f>
        <v>0.2049</v>
      </c>
      <c r="AE85" s="664">
        <f>AE84*AD85</f>
        <v>12801.423820476148</v>
      </c>
      <c r="AF85" s="665"/>
      <c r="AG85" s="402" t="s">
        <v>504</v>
      </c>
      <c r="AH85" s="403">
        <f>SUM(AH83:AH84)</f>
        <v>213748.46828154477</v>
      </c>
    </row>
    <row r="86" spans="1:34">
      <c r="A86" s="465">
        <v>10</v>
      </c>
      <c r="B86" s="451"/>
      <c r="C86" s="450" t="s">
        <v>38</v>
      </c>
      <c r="D86" s="452" t="s">
        <v>39</v>
      </c>
      <c r="E86" s="453"/>
      <c r="F86" s="454"/>
      <c r="G86" s="466">
        <f>G82+G84</f>
        <v>213748.46828154477</v>
      </c>
      <c r="I86" s="684" t="s">
        <v>505</v>
      </c>
      <c r="J86" s="685"/>
      <c r="K86" s="680"/>
      <c r="L86" s="681"/>
      <c r="M86" s="682" t="s">
        <v>506</v>
      </c>
      <c r="N86" s="680"/>
      <c r="O86" s="664">
        <f>O84+O85</f>
        <v>42820.405013883836</v>
      </c>
      <c r="P86" s="665"/>
      <c r="Q86" s="684" t="s">
        <v>505</v>
      </c>
      <c r="R86" s="685"/>
      <c r="S86" s="680"/>
      <c r="T86" s="681"/>
      <c r="U86" s="683" t="s">
        <v>506</v>
      </c>
      <c r="V86" s="680"/>
      <c r="W86" s="664">
        <f>W84+W85</f>
        <v>95650.193275998128</v>
      </c>
      <c r="X86" s="665"/>
      <c r="Y86" s="684" t="s">
        <v>505</v>
      </c>
      <c r="Z86" s="685"/>
      <c r="AA86" s="680"/>
      <c r="AB86" s="681"/>
      <c r="AC86" s="683" t="s">
        <v>506</v>
      </c>
      <c r="AD86" s="680"/>
      <c r="AE86" s="664">
        <f>AE84+AE85</f>
        <v>75277.86999166281</v>
      </c>
      <c r="AF86" s="665"/>
      <c r="AG86" s="668" t="s">
        <v>507</v>
      </c>
      <c r="AH86" s="671">
        <f>AE88+W88+O88</f>
        <v>213748.46828154477</v>
      </c>
    </row>
    <row r="87" spans="1:34">
      <c r="A87" s="674"/>
      <c r="B87" s="675"/>
      <c r="C87" s="675"/>
      <c r="D87" s="675"/>
      <c r="E87" s="675"/>
      <c r="F87" s="675"/>
      <c r="G87" s="676"/>
      <c r="I87" s="404" t="s">
        <v>508</v>
      </c>
      <c r="J87" s="405">
        <f>O86/G86</f>
        <v>0.20033081573937522</v>
      </c>
      <c r="K87" s="680"/>
      <c r="L87" s="681"/>
      <c r="M87" s="682"/>
      <c r="N87" s="680"/>
      <c r="O87" s="664"/>
      <c r="P87" s="665"/>
      <c r="Q87" s="404" t="s">
        <v>509</v>
      </c>
      <c r="R87" s="405">
        <f>W86/G86</f>
        <v>0.44748949101244462</v>
      </c>
      <c r="S87" s="680"/>
      <c r="T87" s="681"/>
      <c r="U87" s="683"/>
      <c r="V87" s="680"/>
      <c r="W87" s="664"/>
      <c r="X87" s="665"/>
      <c r="Y87" s="404" t="s">
        <v>510</v>
      </c>
      <c r="Z87" s="405">
        <f>AE86/G86</f>
        <v>0.35217969324818016</v>
      </c>
      <c r="AA87" s="680"/>
      <c r="AB87" s="681"/>
      <c r="AC87" s="683"/>
      <c r="AD87" s="680"/>
      <c r="AE87" s="664"/>
      <c r="AF87" s="665"/>
      <c r="AG87" s="669"/>
      <c r="AH87" s="672"/>
    </row>
    <row r="88" spans="1:34" ht="15.75" thickBot="1">
      <c r="A88" s="677"/>
      <c r="B88" s="678"/>
      <c r="C88" s="678"/>
      <c r="D88" s="678"/>
      <c r="E88" s="678"/>
      <c r="F88" s="678"/>
      <c r="G88" s="679"/>
      <c r="I88" s="406" t="s">
        <v>511</v>
      </c>
      <c r="J88" s="407">
        <f>J87</f>
        <v>0.20033081573937522</v>
      </c>
      <c r="K88" s="688"/>
      <c r="L88" s="689"/>
      <c r="M88" s="690" t="s">
        <v>512</v>
      </c>
      <c r="N88" s="691"/>
      <c r="O88" s="686">
        <f>O86-O87</f>
        <v>42820.405013883836</v>
      </c>
      <c r="P88" s="687"/>
      <c r="Q88" s="406" t="s">
        <v>511</v>
      </c>
      <c r="R88" s="407">
        <f>R87+J88</f>
        <v>0.64782030675181979</v>
      </c>
      <c r="S88" s="688"/>
      <c r="T88" s="689"/>
      <c r="U88" s="692" t="s">
        <v>512</v>
      </c>
      <c r="V88" s="691"/>
      <c r="W88" s="686">
        <f>W86-W87</f>
        <v>95650.193275998128</v>
      </c>
      <c r="X88" s="687"/>
      <c r="Y88" s="406" t="s">
        <v>511</v>
      </c>
      <c r="Z88" s="407">
        <f>Z87+R88</f>
        <v>1</v>
      </c>
      <c r="AA88" s="688"/>
      <c r="AB88" s="689"/>
      <c r="AC88" s="692" t="s">
        <v>512</v>
      </c>
      <c r="AD88" s="691"/>
      <c r="AE88" s="686">
        <f>AE86-AE87</f>
        <v>75277.86999166281</v>
      </c>
      <c r="AF88" s="687"/>
      <c r="AG88" s="670"/>
      <c r="AH88" s="673"/>
    </row>
  </sheetData>
  <mergeCells count="115">
    <mergeCell ref="AG86:AG88"/>
    <mergeCell ref="AH86:AH88"/>
    <mergeCell ref="K87:L87"/>
    <mergeCell ref="M87:N87"/>
    <mergeCell ref="O87:P87"/>
    <mergeCell ref="S87:T87"/>
    <mergeCell ref="U87:V87"/>
    <mergeCell ref="I77:AF77"/>
    <mergeCell ref="I80:AF80"/>
    <mergeCell ref="AE87:AF87"/>
    <mergeCell ref="K88:L88"/>
    <mergeCell ref="M88:N88"/>
    <mergeCell ref="O88:P88"/>
    <mergeCell ref="S88:T88"/>
    <mergeCell ref="U88:V88"/>
    <mergeCell ref="W88:X88"/>
    <mergeCell ref="AA88:AB88"/>
    <mergeCell ref="AC88:AD88"/>
    <mergeCell ref="AE88:AF88"/>
    <mergeCell ref="AC84:AD84"/>
    <mergeCell ref="AE84:AF84"/>
    <mergeCell ref="I85:L85"/>
    <mergeCell ref="O85:P85"/>
    <mergeCell ref="Q85:T85"/>
    <mergeCell ref="Y85:AB85"/>
    <mergeCell ref="AE85:AF85"/>
    <mergeCell ref="W87:X87"/>
    <mergeCell ref="AA87:AB87"/>
    <mergeCell ref="AC87:AD87"/>
    <mergeCell ref="U86:V86"/>
    <mergeCell ref="W86:X86"/>
    <mergeCell ref="Y86:Z86"/>
    <mergeCell ref="AA86:AB86"/>
    <mergeCell ref="AC86:AD86"/>
    <mergeCell ref="AE86:AF86"/>
    <mergeCell ref="Y84:AB84"/>
    <mergeCell ref="AG82:AH82"/>
    <mergeCell ref="I82:J82"/>
    <mergeCell ref="K82:L82"/>
    <mergeCell ref="M82:N82"/>
    <mergeCell ref="O82:P82"/>
    <mergeCell ref="Q82:R82"/>
    <mergeCell ref="U83:V83"/>
    <mergeCell ref="W83:X83"/>
    <mergeCell ref="Y83:Z83"/>
    <mergeCell ref="AA83:AB83"/>
    <mergeCell ref="I83:J83"/>
    <mergeCell ref="K83:L83"/>
    <mergeCell ref="M83:N83"/>
    <mergeCell ref="O83:P83"/>
    <mergeCell ref="Q83:R83"/>
    <mergeCell ref="S83:T83"/>
    <mergeCell ref="AA82:AB82"/>
    <mergeCell ref="I84:L84"/>
    <mergeCell ref="M84:N84"/>
    <mergeCell ref="O84:P84"/>
    <mergeCell ref="Q84:T84"/>
    <mergeCell ref="U84:V84"/>
    <mergeCell ref="W84:X84"/>
    <mergeCell ref="I86:J86"/>
    <mergeCell ref="K86:L86"/>
    <mergeCell ref="M86:N86"/>
    <mergeCell ref="O86:P86"/>
    <mergeCell ref="Q86:R86"/>
    <mergeCell ref="S86:T86"/>
    <mergeCell ref="W85:X85"/>
    <mergeCell ref="C3:F3"/>
    <mergeCell ref="A4:B5"/>
    <mergeCell ref="C4:D5"/>
    <mergeCell ref="E4:G4"/>
    <mergeCell ref="E5:G5"/>
    <mergeCell ref="S82:T82"/>
    <mergeCell ref="U82:V82"/>
    <mergeCell ref="W82:X82"/>
    <mergeCell ref="I5:J5"/>
    <mergeCell ref="K5:L5"/>
    <mergeCell ref="M5:N5"/>
    <mergeCell ref="O5:P5"/>
    <mergeCell ref="Q5:R5"/>
    <mergeCell ref="S5:T5"/>
    <mergeCell ref="U5:V5"/>
    <mergeCell ref="W5:X5"/>
    <mergeCell ref="Y82:Z82"/>
    <mergeCell ref="I38:AF38"/>
    <mergeCell ref="I53:AF53"/>
    <mergeCell ref="AA5:AB5"/>
    <mergeCell ref="I7:AF7"/>
    <mergeCell ref="I67:AF67"/>
    <mergeCell ref="I68:AF68"/>
    <mergeCell ref="I1:AH1"/>
    <mergeCell ref="I2:AH2"/>
    <mergeCell ref="I3:AB3"/>
    <mergeCell ref="AG3:AH3"/>
    <mergeCell ref="I4:P4"/>
    <mergeCell ref="Q4:X4"/>
    <mergeCell ref="Y4:AB4"/>
    <mergeCell ref="AG4:AH5"/>
    <mergeCell ref="Y5:Z5"/>
    <mergeCell ref="A1:B1"/>
    <mergeCell ref="C1:F1"/>
    <mergeCell ref="G1:G3"/>
    <mergeCell ref="A2:B2"/>
    <mergeCell ref="C2:F2"/>
    <mergeCell ref="A3:B3"/>
    <mergeCell ref="A87:G88"/>
    <mergeCell ref="C82:C83"/>
    <mergeCell ref="D82:F83"/>
    <mergeCell ref="G82:G83"/>
    <mergeCell ref="A84:A85"/>
    <mergeCell ref="B84:B85"/>
    <mergeCell ref="C84:C85"/>
    <mergeCell ref="D84:F85"/>
    <mergeCell ref="G84:G85"/>
    <mergeCell ref="A82:A83"/>
    <mergeCell ref="B82:B83"/>
  </mergeCells>
  <pageMargins left="0.511811024" right="0.511811024" top="0.78740157499999996" bottom="0.78740157499999996" header="0.31496062000000002" footer="0.31496062000000002"/>
  <pageSetup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L27" sqref="L27"/>
    </sheetView>
  </sheetViews>
  <sheetFormatPr defaultRowHeight="15"/>
  <cols>
    <col min="1" max="1" width="8.140625" bestFit="1" customWidth="1"/>
    <col min="2" max="2" width="11.5703125" customWidth="1"/>
    <col min="3" max="3" width="58.5703125" bestFit="1" customWidth="1"/>
    <col min="4" max="4" width="10.28515625" customWidth="1"/>
    <col min="5" max="5" width="9.7109375" customWidth="1"/>
    <col min="6" max="6" width="10.28515625" customWidth="1"/>
  </cols>
  <sheetData>
    <row r="1" spans="1:6" ht="18">
      <c r="A1" s="711" t="s">
        <v>1</v>
      </c>
      <c r="B1" s="712"/>
      <c r="C1" s="712"/>
      <c r="D1" s="712"/>
      <c r="E1" s="712"/>
      <c r="F1" s="713"/>
    </row>
    <row r="2" spans="1:6" ht="16.5">
      <c r="A2" s="729" t="s">
        <v>354</v>
      </c>
      <c r="B2" s="730"/>
      <c r="C2" s="730"/>
      <c r="D2" s="730"/>
      <c r="E2" s="730"/>
      <c r="F2" s="731"/>
    </row>
    <row r="3" spans="1:6" ht="15.75">
      <c r="A3" s="714" t="s">
        <v>355</v>
      </c>
      <c r="B3" s="715"/>
      <c r="C3" s="715"/>
      <c r="D3" s="715"/>
      <c r="E3" s="715"/>
      <c r="F3" s="716"/>
    </row>
    <row r="4" spans="1:6">
      <c r="A4" s="723" t="s">
        <v>356</v>
      </c>
      <c r="B4" s="724"/>
      <c r="C4" s="724"/>
      <c r="D4" s="724"/>
      <c r="E4" s="724"/>
      <c r="F4" s="725"/>
    </row>
    <row r="5" spans="1:6" ht="15.75" thickBot="1">
      <c r="A5" s="726" t="s">
        <v>357</v>
      </c>
      <c r="B5" s="727"/>
      <c r="C5" s="727"/>
      <c r="D5" s="727"/>
      <c r="E5" s="727"/>
      <c r="F5" s="728"/>
    </row>
    <row r="6" spans="1:6">
      <c r="A6" s="717"/>
      <c r="B6" s="718"/>
      <c r="C6" s="718"/>
      <c r="D6" s="718"/>
      <c r="E6" s="718"/>
      <c r="F6" s="719"/>
    </row>
    <row r="7" spans="1:6" ht="15.75" thickBot="1">
      <c r="A7" s="720"/>
      <c r="B7" s="721"/>
      <c r="C7" s="721"/>
      <c r="D7" s="721"/>
      <c r="E7" s="721"/>
      <c r="F7" s="722"/>
    </row>
    <row r="8" spans="1:6" ht="15.75">
      <c r="A8" s="693" t="s">
        <v>359</v>
      </c>
      <c r="B8" s="694"/>
      <c r="C8" s="694"/>
      <c r="D8" s="694"/>
      <c r="E8" s="694"/>
      <c r="F8" s="695"/>
    </row>
    <row r="9" spans="1:6" ht="30">
      <c r="A9" s="696" t="s">
        <v>360</v>
      </c>
      <c r="B9" s="697"/>
      <c r="C9" s="698"/>
      <c r="D9" s="205" t="s">
        <v>361</v>
      </c>
      <c r="E9" s="206" t="s">
        <v>362</v>
      </c>
      <c r="F9" s="206" t="s">
        <v>363</v>
      </c>
    </row>
    <row r="10" spans="1:6" ht="15.75">
      <c r="A10" s="155" t="s">
        <v>364</v>
      </c>
      <c r="B10" s="156" t="s">
        <v>365</v>
      </c>
      <c r="C10" s="157" t="s">
        <v>366</v>
      </c>
      <c r="D10" s="158"/>
      <c r="E10" s="159"/>
      <c r="F10" s="159"/>
    </row>
    <row r="11" spans="1:6" ht="15.75">
      <c r="A11" s="160"/>
      <c r="B11" s="156" t="s">
        <v>367</v>
      </c>
      <c r="C11" s="161" t="s">
        <v>368</v>
      </c>
      <c r="D11" s="162">
        <v>4.2499999999999996E-2</v>
      </c>
      <c r="E11" s="163">
        <v>0.03</v>
      </c>
      <c r="F11" s="163">
        <v>5.5E-2</v>
      </c>
    </row>
    <row r="12" spans="1:6" ht="15.75">
      <c r="A12" s="160"/>
      <c r="B12" s="156" t="s">
        <v>369</v>
      </c>
      <c r="C12" s="161" t="s">
        <v>370</v>
      </c>
      <c r="D12" s="162">
        <v>4.5000000000000005E-3</v>
      </c>
      <c r="E12" s="163">
        <v>4.0000000000000001E-3</v>
      </c>
      <c r="F12" s="163">
        <v>5.0000000000000001E-3</v>
      </c>
    </row>
    <row r="13" spans="1:6" ht="15.75">
      <c r="A13" s="160"/>
      <c r="B13" s="156" t="s">
        <v>371</v>
      </c>
      <c r="C13" s="161" t="s">
        <v>372</v>
      </c>
      <c r="D13" s="162">
        <v>4.5000000000000005E-3</v>
      </c>
      <c r="E13" s="163">
        <v>4.0000000000000001E-3</v>
      </c>
      <c r="F13" s="163">
        <v>5.0000000000000001E-3</v>
      </c>
    </row>
    <row r="14" spans="1:6" ht="16.5" thickBot="1">
      <c r="A14" s="164"/>
      <c r="B14" s="165" t="s">
        <v>373</v>
      </c>
      <c r="C14" s="166" t="s">
        <v>374</v>
      </c>
      <c r="D14" s="162">
        <v>1.12E-2</v>
      </c>
      <c r="E14" s="167">
        <v>9.7000000000000003E-3</v>
      </c>
      <c r="F14" s="167">
        <v>1.2699999999999999E-2</v>
      </c>
    </row>
    <row r="15" spans="1:6" ht="16.5" thickBot="1">
      <c r="A15" s="168"/>
      <c r="B15" s="169"/>
      <c r="C15" s="169" t="s">
        <v>375</v>
      </c>
      <c r="D15" s="170">
        <v>6.2700000000000006E-2</v>
      </c>
      <c r="E15" s="171">
        <v>4.7700000000000006E-2</v>
      </c>
      <c r="F15" s="171">
        <v>7.7700000000000005E-2</v>
      </c>
    </row>
    <row r="16" spans="1:6" ht="15.75">
      <c r="A16" s="155" t="s">
        <v>364</v>
      </c>
      <c r="B16" s="172" t="s">
        <v>376</v>
      </c>
      <c r="C16" s="157" t="s">
        <v>377</v>
      </c>
      <c r="D16" s="158"/>
      <c r="E16" s="159"/>
      <c r="F16" s="159"/>
    </row>
    <row r="17" spans="1:11" ht="16.5" thickBot="1">
      <c r="A17" s="173"/>
      <c r="B17" s="174" t="s">
        <v>378</v>
      </c>
      <c r="C17" s="166" t="s">
        <v>379</v>
      </c>
      <c r="D17" s="162">
        <v>7.5600000000000001E-2</v>
      </c>
      <c r="E17" s="167">
        <v>6.1600000000000002E-2</v>
      </c>
      <c r="F17" s="167">
        <v>8.9599999999999999E-2</v>
      </c>
    </row>
    <row r="18" spans="1:11" ht="16.5" thickBot="1">
      <c r="A18" s="168"/>
      <c r="B18" s="175"/>
      <c r="C18" s="175" t="s">
        <v>380</v>
      </c>
      <c r="D18" s="170">
        <v>7.5600000000000001E-2</v>
      </c>
      <c r="E18" s="171">
        <v>6.1600000000000002E-2</v>
      </c>
      <c r="F18" s="171">
        <v>8.9599999999999999E-2</v>
      </c>
    </row>
    <row r="19" spans="1:11" ht="15.75">
      <c r="A19" s="155" t="s">
        <v>364</v>
      </c>
      <c r="B19" s="156" t="s">
        <v>269</v>
      </c>
      <c r="C19" s="176" t="s">
        <v>381</v>
      </c>
      <c r="D19" s="177"/>
      <c r="E19" s="159"/>
      <c r="F19" s="159"/>
    </row>
    <row r="20" spans="1:11" ht="15.75">
      <c r="A20" s="178"/>
      <c r="B20" s="156" t="s">
        <v>382</v>
      </c>
      <c r="C20" s="179" t="s">
        <v>383</v>
      </c>
      <c r="D20" s="209">
        <v>6.4999999999999997E-3</v>
      </c>
      <c r="E20" s="163">
        <v>6.4999999999999997E-3</v>
      </c>
      <c r="F20" s="163">
        <v>6.4999999999999997E-3</v>
      </c>
    </row>
    <row r="21" spans="1:11" ht="15.75">
      <c r="A21" s="178"/>
      <c r="B21" s="156" t="s">
        <v>384</v>
      </c>
      <c r="C21" s="179" t="s">
        <v>385</v>
      </c>
      <c r="D21" s="209">
        <v>0.03</v>
      </c>
      <c r="E21" s="163">
        <v>0.03</v>
      </c>
      <c r="F21" s="163">
        <v>0.03</v>
      </c>
    </row>
    <row r="22" spans="1:11" ht="16.5" thickBot="1">
      <c r="A22" s="173"/>
      <c r="B22" s="165" t="s">
        <v>386</v>
      </c>
      <c r="C22" s="180" t="s">
        <v>387</v>
      </c>
      <c r="D22" s="181">
        <v>0.02</v>
      </c>
      <c r="E22" s="167">
        <v>0.02</v>
      </c>
      <c r="F22" s="167">
        <v>0.02</v>
      </c>
    </row>
    <row r="23" spans="1:11" ht="16.5" thickBot="1">
      <c r="A23" s="168"/>
      <c r="B23" s="182"/>
      <c r="C23" s="175" t="s">
        <v>388</v>
      </c>
      <c r="D23" s="170">
        <v>5.6499999999999995E-2</v>
      </c>
      <c r="E23" s="171">
        <v>5.6499999999999995E-2</v>
      </c>
      <c r="F23" s="171">
        <v>5.6499999999999995E-2</v>
      </c>
    </row>
    <row r="24" spans="1:11" ht="15.75">
      <c r="A24" s="155" t="s">
        <v>364</v>
      </c>
      <c r="B24" s="156" t="s">
        <v>389</v>
      </c>
      <c r="C24" s="176" t="s">
        <v>390</v>
      </c>
      <c r="D24" s="177"/>
      <c r="E24" s="159"/>
      <c r="F24" s="159"/>
    </row>
    <row r="25" spans="1:11" ht="16.5" thickBot="1">
      <c r="A25" s="164"/>
      <c r="B25" s="174"/>
      <c r="C25" s="180" t="s">
        <v>390</v>
      </c>
      <c r="D25" s="162">
        <v>9.8999999999999991E-3</v>
      </c>
      <c r="E25" s="167">
        <v>5.8999999999999999E-3</v>
      </c>
      <c r="F25" s="167">
        <v>1.3899999999999999E-2</v>
      </c>
    </row>
    <row r="26" spans="1:11" ht="16.5" thickBot="1">
      <c r="A26" s="183"/>
      <c r="B26" s="169"/>
      <c r="C26" s="175" t="s">
        <v>391</v>
      </c>
      <c r="D26" s="184">
        <v>9.8999999999999991E-3</v>
      </c>
      <c r="E26" s="185">
        <v>5.8999999999999999E-3</v>
      </c>
      <c r="F26" s="185">
        <v>1.3899999999999999E-2</v>
      </c>
    </row>
    <row r="27" spans="1:11" ht="15.75" thickBot="1">
      <c r="A27" s="152"/>
      <c r="B27" s="152"/>
      <c r="C27" s="152"/>
      <c r="D27" s="152"/>
      <c r="E27" s="152"/>
      <c r="F27" s="152"/>
    </row>
    <row r="28" spans="1:11" ht="30.75" thickBot="1">
      <c r="A28" s="708" t="s">
        <v>358</v>
      </c>
      <c r="B28" s="709"/>
      <c r="C28" s="710"/>
      <c r="D28" s="153" t="s">
        <v>361</v>
      </c>
      <c r="E28" s="154" t="s">
        <v>362</v>
      </c>
      <c r="F28" s="154" t="s">
        <v>363</v>
      </c>
    </row>
    <row r="29" spans="1:11" ht="15.75" thickBot="1">
      <c r="A29" s="190" t="s">
        <v>392</v>
      </c>
      <c r="B29" s="191"/>
      <c r="C29" s="191"/>
      <c r="D29" s="192">
        <v>0.20488545021291049</v>
      </c>
      <c r="E29" s="193">
        <v>0.17183823582127555</v>
      </c>
      <c r="F29" s="194">
        <v>0.23793981749749005</v>
      </c>
      <c r="K29" s="333"/>
    </row>
    <row r="30" spans="1:11">
      <c r="A30" s="186" t="s">
        <v>393</v>
      </c>
      <c r="B30" s="187"/>
      <c r="C30" s="188"/>
      <c r="D30" s="195"/>
      <c r="E30" s="196"/>
      <c r="F30" s="197"/>
    </row>
    <row r="31" spans="1:11">
      <c r="A31" s="204" t="s">
        <v>394</v>
      </c>
      <c r="B31" s="189" t="s">
        <v>395</v>
      </c>
      <c r="C31" s="201"/>
      <c r="D31" s="198">
        <v>4.2499999999999996E-2</v>
      </c>
      <c r="E31" s="199">
        <v>0.03</v>
      </c>
      <c r="F31" s="200">
        <v>5.5E-2</v>
      </c>
    </row>
    <row r="32" spans="1:11">
      <c r="A32" s="204" t="s">
        <v>396</v>
      </c>
      <c r="B32" s="189" t="s">
        <v>397</v>
      </c>
      <c r="C32" s="201"/>
      <c r="D32" s="198">
        <v>9.8999999999999991E-3</v>
      </c>
      <c r="E32" s="199">
        <v>5.8999999999999999E-3</v>
      </c>
      <c r="F32" s="200">
        <v>1.3899999999999999E-2</v>
      </c>
    </row>
    <row r="33" spans="1:6">
      <c r="A33" s="204" t="s">
        <v>398</v>
      </c>
      <c r="B33" s="189" t="s">
        <v>399</v>
      </c>
      <c r="C33" s="201"/>
      <c r="D33" s="198">
        <v>2.0200000000000003E-2</v>
      </c>
      <c r="E33" s="199">
        <v>1.77E-2</v>
      </c>
      <c r="F33" s="200">
        <v>2.2699999999999998E-2</v>
      </c>
    </row>
    <row r="34" spans="1:6">
      <c r="A34" s="204" t="s">
        <v>400</v>
      </c>
      <c r="B34" s="189" t="s">
        <v>401</v>
      </c>
      <c r="C34" s="201"/>
      <c r="D34" s="198">
        <v>7.5600000000000001E-2</v>
      </c>
      <c r="E34" s="199">
        <v>6.1600000000000002E-2</v>
      </c>
      <c r="F34" s="200">
        <v>8.9599999999999999E-2</v>
      </c>
    </row>
    <row r="35" spans="1:6" ht="15.75" thickBot="1">
      <c r="A35" s="204" t="s">
        <v>402</v>
      </c>
      <c r="B35" s="189" t="s">
        <v>403</v>
      </c>
      <c r="C35" s="201"/>
      <c r="D35" s="198">
        <v>5.6499999999999995E-2</v>
      </c>
      <c r="E35" s="199">
        <v>5.6499999999999995E-2</v>
      </c>
      <c r="F35" s="200">
        <v>5.6499999999999995E-2</v>
      </c>
    </row>
    <row r="36" spans="1:6" ht="35.25" customHeight="1">
      <c r="A36" s="699" t="s">
        <v>404</v>
      </c>
      <c r="B36" s="700"/>
      <c r="C36" s="700"/>
      <c r="D36" s="700"/>
      <c r="E36" s="700"/>
      <c r="F36" s="701"/>
    </row>
    <row r="37" spans="1:6">
      <c r="A37" s="702"/>
      <c r="B37" s="703"/>
      <c r="C37" s="703"/>
      <c r="D37" s="703"/>
      <c r="E37" s="703"/>
      <c r="F37" s="704"/>
    </row>
    <row r="38" spans="1:6">
      <c r="A38" s="702"/>
      <c r="B38" s="703"/>
      <c r="C38" s="703"/>
      <c r="D38" s="703"/>
      <c r="E38" s="703"/>
      <c r="F38" s="704"/>
    </row>
    <row r="39" spans="1:6">
      <c r="A39" s="702"/>
      <c r="B39" s="703"/>
      <c r="C39" s="703"/>
      <c r="D39" s="703"/>
      <c r="E39" s="703"/>
      <c r="F39" s="704"/>
    </row>
    <row r="40" spans="1:6" ht="15.75" thickBot="1">
      <c r="A40" s="705"/>
      <c r="B40" s="706"/>
      <c r="C40" s="706"/>
      <c r="D40" s="706"/>
      <c r="E40" s="706"/>
      <c r="F40" s="707"/>
    </row>
    <row r="42" spans="1:6">
      <c r="A42" s="152"/>
      <c r="B42" s="152"/>
      <c r="C42" s="208" t="s">
        <v>405</v>
      </c>
      <c r="D42" s="152"/>
      <c r="E42" s="152"/>
      <c r="F42" s="152"/>
    </row>
    <row r="44" spans="1:6">
      <c r="A44" s="152"/>
      <c r="B44" s="152"/>
      <c r="C44" s="207"/>
      <c r="D44" s="152"/>
      <c r="E44" s="152"/>
      <c r="F44" s="152"/>
    </row>
    <row r="45" spans="1:6">
      <c r="A45" s="152"/>
      <c r="B45" s="152"/>
      <c r="C45" s="202" t="s">
        <v>406</v>
      </c>
      <c r="D45" s="152"/>
      <c r="E45" s="152"/>
      <c r="F45" s="152"/>
    </row>
    <row r="46" spans="1:6">
      <c r="A46" s="152"/>
      <c r="B46" s="152"/>
      <c r="C46" s="203" t="s">
        <v>407</v>
      </c>
      <c r="D46" s="152"/>
      <c r="E46" s="152"/>
      <c r="F46" s="152"/>
    </row>
    <row r="47" spans="1:6">
      <c r="A47" s="152"/>
      <c r="B47" s="152"/>
      <c r="C47" s="203" t="s">
        <v>408</v>
      </c>
      <c r="D47" s="152"/>
      <c r="E47" s="152"/>
      <c r="F47" s="152"/>
    </row>
    <row r="48" spans="1:6">
      <c r="A48" s="152"/>
      <c r="B48" s="152"/>
      <c r="C48" s="203" t="s">
        <v>409</v>
      </c>
      <c r="D48" s="152"/>
      <c r="E48" s="152"/>
      <c r="F48" s="152"/>
    </row>
  </sheetData>
  <mergeCells count="11">
    <mergeCell ref="A1:F1"/>
    <mergeCell ref="A3:F3"/>
    <mergeCell ref="A6:F7"/>
    <mergeCell ref="A4:F4"/>
    <mergeCell ref="A5:F5"/>
    <mergeCell ref="A2:F2"/>
    <mergeCell ref="A8:F8"/>
    <mergeCell ref="A9:C9"/>
    <mergeCell ref="A36:F36"/>
    <mergeCell ref="A37:F40"/>
    <mergeCell ref="A28:C28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5"/>
  <cols>
    <col min="1" max="1" width="34.28515625" style="357" customWidth="1"/>
    <col min="2" max="2" width="11.7109375" style="436" bestFit="1" customWidth="1"/>
    <col min="3" max="3" width="11" style="435" bestFit="1" customWidth="1"/>
    <col min="4" max="4" width="14.85546875" style="434" bestFit="1" customWidth="1"/>
    <col min="5" max="7" width="9.140625" style="357"/>
    <col min="8" max="10" width="10.5703125" style="357" bestFit="1" customWidth="1"/>
    <col min="11" max="11" width="11.28515625" style="357" customWidth="1"/>
    <col min="12" max="12" width="11.5703125" style="357" bestFit="1" customWidth="1"/>
    <col min="13" max="16384" width="9.140625" style="357"/>
  </cols>
  <sheetData>
    <row r="1" spans="1:12">
      <c r="A1" s="410" t="s">
        <v>573</v>
      </c>
      <c r="B1" s="446" t="s">
        <v>504</v>
      </c>
      <c r="C1" s="445" t="s">
        <v>572</v>
      </c>
      <c r="D1" s="410" t="s">
        <v>571</v>
      </c>
      <c r="H1" s="444" t="s">
        <v>570</v>
      </c>
      <c r="I1" s="444" t="s">
        <v>569</v>
      </c>
      <c r="J1" s="444" t="s">
        <v>568</v>
      </c>
      <c r="K1" s="443" t="s">
        <v>567</v>
      </c>
      <c r="L1" s="443" t="s">
        <v>151</v>
      </c>
    </row>
    <row r="2" spans="1:12" ht="47.25" customHeight="1">
      <c r="A2" s="447" t="s">
        <v>476</v>
      </c>
      <c r="B2" s="439">
        <f>ORÇAMENTO!Q66</f>
        <v>58282.276183872636</v>
      </c>
      <c r="C2" s="438">
        <f>B2/SUM($B$2:$B$8)</f>
        <v>0.27163969579407732</v>
      </c>
      <c r="D2" s="437" t="str">
        <f t="shared" ref="D2:D8" si="0">IF(B2&gt;=LARGE($B$2:$B$8,$J$2),$H$2,IF(B2&gt;=LARGE($B$2:$B$8,$J$3),$H$3,$H$4))</f>
        <v>A</v>
      </c>
      <c r="H2" s="442" t="s">
        <v>365</v>
      </c>
      <c r="I2" s="442">
        <f>20%</f>
        <v>0.2</v>
      </c>
      <c r="J2" s="441">
        <v>2</v>
      </c>
      <c r="K2" s="440">
        <f>SUMIF(D:D,H2,B:B)</f>
        <v>112762.41369890264</v>
      </c>
      <c r="L2" s="440">
        <f>K2</f>
        <v>112762.41369890264</v>
      </c>
    </row>
    <row r="3" spans="1:12" ht="39.75" customHeight="1">
      <c r="A3" s="447" t="s">
        <v>243</v>
      </c>
      <c r="B3" s="439">
        <f>ORÇAMENTO!Q23</f>
        <v>54480.137515030008</v>
      </c>
      <c r="C3" s="438">
        <f t="shared" ref="C3:C8" si="1">B3/SUM($B$2:$B$8)+C2</f>
        <v>0.52555853614124437</v>
      </c>
      <c r="D3" s="437" t="str">
        <f t="shared" si="0"/>
        <v>A</v>
      </c>
      <c r="H3" s="442" t="s">
        <v>376</v>
      </c>
      <c r="I3" s="442">
        <f>30%</f>
        <v>0.3</v>
      </c>
      <c r="J3" s="441">
        <f>COUNT($B$2:$B$8)*(I3+I2)</f>
        <v>3.5</v>
      </c>
      <c r="K3" s="440">
        <f>SUMIF(D:D,H3,B:B)</f>
        <v>78130.326805288816</v>
      </c>
      <c r="L3" s="440">
        <f>L2+K3</f>
        <v>190892.74050419146</v>
      </c>
    </row>
    <row r="4" spans="1:12" ht="56.25" customHeight="1">
      <c r="A4" s="447" t="s">
        <v>129</v>
      </c>
      <c r="B4" s="439">
        <f>ORÇAMENTO!Q52</f>
        <v>45110.787897408809</v>
      </c>
      <c r="C4" s="438">
        <f t="shared" si="1"/>
        <v>0.73580908748937546</v>
      </c>
      <c r="D4" s="437" t="str">
        <f t="shared" si="0"/>
        <v>B</v>
      </c>
      <c r="H4" s="442" t="s">
        <v>269</v>
      </c>
      <c r="I4" s="442">
        <f>50%</f>
        <v>0.5</v>
      </c>
      <c r="J4" s="441">
        <f>COUNT($B$2:$B$8)*(I4+I3+I2)</f>
        <v>7</v>
      </c>
      <c r="K4" s="440">
        <f>SUMIF(D:D,H4,B:B)</f>
        <v>23664.546542893331</v>
      </c>
      <c r="L4" s="440">
        <f>L3+K4</f>
        <v>214557.2870470848</v>
      </c>
    </row>
    <row r="5" spans="1:12">
      <c r="A5" s="448" t="s">
        <v>275</v>
      </c>
      <c r="B5" s="439">
        <f>ORÇAMENTO!Q77</f>
        <v>33019.53890788</v>
      </c>
      <c r="C5" s="438">
        <f t="shared" si="1"/>
        <v>0.88970523039051974</v>
      </c>
      <c r="D5" s="437" t="str">
        <f t="shared" si="0"/>
        <v>B</v>
      </c>
    </row>
    <row r="6" spans="1:12" ht="38.25" customHeight="1">
      <c r="A6" s="449" t="s">
        <v>410</v>
      </c>
      <c r="B6" s="439">
        <f>ORÇAMENTO!Q37</f>
        <v>18015.071667893331</v>
      </c>
      <c r="C6" s="438">
        <f t="shared" si="1"/>
        <v>0.97366915403921839</v>
      </c>
      <c r="D6" s="437" t="str">
        <f t="shared" si="0"/>
        <v>C</v>
      </c>
    </row>
    <row r="7" spans="1:12" ht="36.75" customHeight="1">
      <c r="A7" s="449" t="s">
        <v>33</v>
      </c>
      <c r="B7" s="439">
        <f>ORÇAMENTO!Q80</f>
        <v>3157.9826549999998</v>
      </c>
      <c r="C7" s="438">
        <f t="shared" si="1"/>
        <v>0.98838775296663206</v>
      </c>
      <c r="D7" s="437" t="str">
        <f t="shared" si="0"/>
        <v>C</v>
      </c>
    </row>
    <row r="8" spans="1:12" ht="56.25" customHeight="1">
      <c r="A8" s="449" t="s">
        <v>34</v>
      </c>
      <c r="B8" s="439">
        <f>ORÇAMENTO!Q82</f>
        <v>2491.4922199999996</v>
      </c>
      <c r="C8" s="438">
        <f t="shared" si="1"/>
        <v>1</v>
      </c>
      <c r="D8" s="437" t="str">
        <f t="shared" si="0"/>
        <v>C</v>
      </c>
    </row>
  </sheetData>
  <dataConsolidate/>
  <conditionalFormatting sqref="D2:D8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topLeftCell="A7" workbookViewId="0">
      <selection activeCell="E30" sqref="E30"/>
    </sheetView>
  </sheetViews>
  <sheetFormatPr defaultColWidth="79.85546875" defaultRowHeight="15"/>
  <cols>
    <col min="1" max="1" width="4.5703125" bestFit="1" customWidth="1"/>
    <col min="2" max="2" width="23.28515625" bestFit="1" customWidth="1"/>
    <col min="3" max="3" width="90.5703125" customWidth="1"/>
    <col min="4" max="4" width="11.42578125" customWidth="1"/>
    <col min="5" max="5" width="8" bestFit="1" customWidth="1"/>
    <col min="6" max="7" width="12" bestFit="1" customWidth="1"/>
    <col min="8" max="8" width="17.42578125" customWidth="1"/>
    <col min="9" max="9" width="16" customWidth="1"/>
    <col min="10" max="10" width="16.85546875" customWidth="1"/>
  </cols>
  <sheetData>
    <row r="1" spans="1:10" s="357" customFormat="1" ht="26.25" thickBot="1">
      <c r="A1" s="471" t="s">
        <v>7</v>
      </c>
      <c r="B1" s="472" t="s">
        <v>8</v>
      </c>
      <c r="C1" s="473" t="s">
        <v>9</v>
      </c>
      <c r="D1" s="474" t="s">
        <v>10</v>
      </c>
      <c r="E1" s="475" t="s">
        <v>11</v>
      </c>
      <c r="F1" s="476" t="s">
        <v>12</v>
      </c>
      <c r="G1" s="477" t="s">
        <v>13</v>
      </c>
      <c r="H1" s="474" t="s">
        <v>589</v>
      </c>
      <c r="I1" s="474" t="s">
        <v>590</v>
      </c>
      <c r="J1" s="474" t="s">
        <v>591</v>
      </c>
    </row>
    <row r="2" spans="1:10">
      <c r="A2" s="480" t="s">
        <v>28</v>
      </c>
      <c r="B2" s="412" t="s">
        <v>106</v>
      </c>
      <c r="C2" s="412" t="s">
        <v>206</v>
      </c>
      <c r="D2" s="412" t="s">
        <v>63</v>
      </c>
      <c r="E2" s="412">
        <v>1164</v>
      </c>
      <c r="F2" s="412">
        <v>16.871940000000002</v>
      </c>
      <c r="G2" s="481">
        <v>19638.938160000002</v>
      </c>
      <c r="H2" s="482">
        <f>G2*F$71</f>
        <v>23662.956588984005</v>
      </c>
      <c r="I2" s="483">
        <f>H2/G$71</f>
        <v>0.1136972856980297</v>
      </c>
      <c r="J2" s="484">
        <f>I2</f>
        <v>0.1136972856980297</v>
      </c>
    </row>
    <row r="3" spans="1:10">
      <c r="A3" s="414" t="s">
        <v>330</v>
      </c>
      <c r="B3" s="19" t="s">
        <v>518</v>
      </c>
      <c r="C3" s="19" t="s">
        <v>467</v>
      </c>
      <c r="D3" s="19" t="s">
        <v>25</v>
      </c>
      <c r="E3" s="19">
        <v>336.96</v>
      </c>
      <c r="F3" s="19">
        <v>48.257761500000008</v>
      </c>
      <c r="G3" s="470">
        <v>16260.935315040002</v>
      </c>
      <c r="H3" s="478">
        <f t="shared" ref="H3:H66" si="0">G3*F$71</f>
        <v>19592.8009610917</v>
      </c>
      <c r="I3" s="479">
        <f t="shared" ref="I3:I66" si="1">H3/G$71</f>
        <v>9.4140741885776341E-2</v>
      </c>
      <c r="J3" s="485">
        <f>I3+J2</f>
        <v>0.20783802758380604</v>
      </c>
    </row>
    <row r="4" spans="1:10">
      <c r="A4" s="414" t="s">
        <v>586</v>
      </c>
      <c r="B4" s="19">
        <v>88423</v>
      </c>
      <c r="C4" s="19" t="s">
        <v>285</v>
      </c>
      <c r="D4" s="19" t="s">
        <v>25</v>
      </c>
      <c r="E4" s="19">
        <v>814.5</v>
      </c>
      <c r="F4" s="19">
        <v>13.63</v>
      </c>
      <c r="G4" s="470">
        <v>11101.635</v>
      </c>
      <c r="H4" s="478">
        <f t="shared" si="0"/>
        <v>13376.360011500001</v>
      </c>
      <c r="I4" s="479">
        <f t="shared" si="1"/>
        <v>6.4271589228846862E-2</v>
      </c>
      <c r="J4" s="485">
        <f t="shared" ref="J4:J67" si="2">I4+J3</f>
        <v>0.27210961681265289</v>
      </c>
    </row>
    <row r="5" spans="1:10">
      <c r="A5" s="414" t="s">
        <v>333</v>
      </c>
      <c r="B5" s="19" t="s">
        <v>213</v>
      </c>
      <c r="C5" s="19" t="s">
        <v>212</v>
      </c>
      <c r="D5" s="19" t="s">
        <v>63</v>
      </c>
      <c r="E5" s="19">
        <v>1206</v>
      </c>
      <c r="F5" s="19">
        <v>6.6431100000000001</v>
      </c>
      <c r="G5" s="470">
        <v>8011.5906599999998</v>
      </c>
      <c r="H5" s="478">
        <f t="shared" si="0"/>
        <v>9653.1655862340012</v>
      </c>
      <c r="I5" s="479">
        <f t="shared" si="1"/>
        <v>4.6382146771100488E-2</v>
      </c>
      <c r="J5" s="485">
        <f t="shared" si="2"/>
        <v>0.31849176358375336</v>
      </c>
    </row>
    <row r="6" spans="1:10">
      <c r="A6" s="414" t="s">
        <v>332</v>
      </c>
      <c r="B6" s="19" t="s">
        <v>209</v>
      </c>
      <c r="C6" s="19" t="s">
        <v>202</v>
      </c>
      <c r="D6" s="19" t="s">
        <v>63</v>
      </c>
      <c r="E6" s="19">
        <v>1150.92</v>
      </c>
      <c r="F6" s="19">
        <v>6.0090967793880834</v>
      </c>
      <c r="G6" s="470">
        <v>6915.9896653333335</v>
      </c>
      <c r="H6" s="478">
        <f t="shared" si="0"/>
        <v>8333.0759477601332</v>
      </c>
      <c r="I6" s="479">
        <f t="shared" si="1"/>
        <v>4.0039295732678483E-2</v>
      </c>
      <c r="J6" s="485">
        <f t="shared" si="2"/>
        <v>0.35853105931643187</v>
      </c>
    </row>
    <row r="7" spans="1:10">
      <c r="A7" s="414" t="s">
        <v>345</v>
      </c>
      <c r="B7" s="19" t="s">
        <v>45</v>
      </c>
      <c r="C7" s="19" t="s">
        <v>256</v>
      </c>
      <c r="D7" s="19" t="s">
        <v>25</v>
      </c>
      <c r="E7" s="19">
        <v>142.34000000000003</v>
      </c>
      <c r="F7" s="19">
        <v>47.99</v>
      </c>
      <c r="G7" s="470">
        <v>6830.8966000000019</v>
      </c>
      <c r="H7" s="478">
        <f t="shared" si="0"/>
        <v>8230.5473133400028</v>
      </c>
      <c r="I7" s="479">
        <f t="shared" si="1"/>
        <v>3.954665959923262E-2</v>
      </c>
      <c r="J7" s="485">
        <f t="shared" si="2"/>
        <v>0.39807771891566446</v>
      </c>
    </row>
    <row r="8" spans="1:10">
      <c r="A8" s="414" t="s">
        <v>424</v>
      </c>
      <c r="B8" s="19">
        <v>90776</v>
      </c>
      <c r="C8" s="19" t="s">
        <v>513</v>
      </c>
      <c r="D8" s="19" t="s">
        <v>20</v>
      </c>
      <c r="E8" s="19">
        <v>400</v>
      </c>
      <c r="F8" s="19">
        <v>16.78</v>
      </c>
      <c r="G8" s="470">
        <v>6712</v>
      </c>
      <c r="H8" s="478">
        <f t="shared" si="0"/>
        <v>8087.2888000000003</v>
      </c>
      <c r="I8" s="479">
        <f t="shared" si="1"/>
        <v>3.8858321941229387E-2</v>
      </c>
      <c r="J8" s="485">
        <f t="shared" si="2"/>
        <v>0.43693604085689386</v>
      </c>
    </row>
    <row r="9" spans="1:10">
      <c r="A9" s="414" t="s">
        <v>53</v>
      </c>
      <c r="B9" s="19">
        <v>94207</v>
      </c>
      <c r="C9" s="19" t="s">
        <v>449</v>
      </c>
      <c r="D9" s="19" t="s">
        <v>25</v>
      </c>
      <c r="E9" s="19">
        <v>191.78</v>
      </c>
      <c r="F9" s="19">
        <v>30.89</v>
      </c>
      <c r="G9" s="470">
        <v>5924.0842000000002</v>
      </c>
      <c r="H9" s="478">
        <f t="shared" si="0"/>
        <v>7137.9290525800006</v>
      </c>
      <c r="I9" s="479">
        <f t="shared" si="1"/>
        <v>3.4296777570105838E-2</v>
      </c>
      <c r="J9" s="485">
        <f t="shared" si="2"/>
        <v>0.47123281842699971</v>
      </c>
    </row>
    <row r="10" spans="1:10">
      <c r="A10" s="414" t="s">
        <v>415</v>
      </c>
      <c r="B10" s="19" t="s">
        <v>210</v>
      </c>
      <c r="C10" s="19" t="s">
        <v>439</v>
      </c>
      <c r="D10" s="19" t="s">
        <v>128</v>
      </c>
      <c r="E10" s="19">
        <v>23</v>
      </c>
      <c r="F10" s="19">
        <v>250</v>
      </c>
      <c r="G10" s="470">
        <v>5750</v>
      </c>
      <c r="H10" s="478">
        <f t="shared" si="0"/>
        <v>6928.1750000000002</v>
      </c>
      <c r="I10" s="479">
        <f t="shared" si="1"/>
        <v>3.3288937896613378E-2</v>
      </c>
      <c r="J10" s="485">
        <f t="shared" si="2"/>
        <v>0.50452175632361307</v>
      </c>
    </row>
    <row r="11" spans="1:10">
      <c r="A11" s="414" t="s">
        <v>341</v>
      </c>
      <c r="B11" s="19" t="s">
        <v>210</v>
      </c>
      <c r="C11" s="19" t="s">
        <v>525</v>
      </c>
      <c r="D11" s="19" t="s">
        <v>516</v>
      </c>
      <c r="E11" s="19">
        <v>318.39999999999998</v>
      </c>
      <c r="F11" s="19">
        <v>18</v>
      </c>
      <c r="G11" s="470">
        <v>5731.2</v>
      </c>
      <c r="H11" s="478">
        <f t="shared" si="0"/>
        <v>6905.5228800000004</v>
      </c>
      <c r="I11" s="479">
        <f t="shared" si="1"/>
        <v>3.318009754314271E-2</v>
      </c>
      <c r="J11" s="485">
        <f t="shared" si="2"/>
        <v>0.53770185386675573</v>
      </c>
    </row>
    <row r="12" spans="1:10">
      <c r="A12" s="414" t="s">
        <v>312</v>
      </c>
      <c r="B12" s="19" t="s">
        <v>443</v>
      </c>
      <c r="C12" s="19" t="s">
        <v>444</v>
      </c>
      <c r="D12" s="19" t="s">
        <v>26</v>
      </c>
      <c r="E12" s="19">
        <v>96</v>
      </c>
      <c r="F12" s="19">
        <v>53.004444444444445</v>
      </c>
      <c r="G12" s="470">
        <v>5088.4266666666663</v>
      </c>
      <c r="H12" s="478">
        <f t="shared" si="0"/>
        <v>6131.0452906666669</v>
      </c>
      <c r="I12" s="479">
        <f t="shared" si="1"/>
        <v>2.9458838138806624E-2</v>
      </c>
      <c r="J12" s="485">
        <f t="shared" si="2"/>
        <v>0.56716069200556241</v>
      </c>
    </row>
    <row r="13" spans="1:10">
      <c r="A13" s="414" t="s">
        <v>331</v>
      </c>
      <c r="B13" s="19" t="s">
        <v>474</v>
      </c>
      <c r="C13" s="19" t="s">
        <v>475</v>
      </c>
      <c r="D13" s="19" t="s">
        <v>26</v>
      </c>
      <c r="E13" s="19">
        <v>280.8</v>
      </c>
      <c r="F13" s="19">
        <v>17.34</v>
      </c>
      <c r="G13" s="470">
        <v>4869.0720000000001</v>
      </c>
      <c r="H13" s="478">
        <f t="shared" si="0"/>
        <v>5866.7448528000004</v>
      </c>
      <c r="I13" s="479">
        <f t="shared" si="1"/>
        <v>2.8188910508198106E-2</v>
      </c>
      <c r="J13" s="485">
        <f t="shared" si="2"/>
        <v>0.59534960251376057</v>
      </c>
    </row>
    <row r="14" spans="1:10">
      <c r="A14" s="414" t="s">
        <v>51</v>
      </c>
      <c r="B14" s="19" t="s">
        <v>125</v>
      </c>
      <c r="C14" s="19" t="s">
        <v>122</v>
      </c>
      <c r="D14" s="19" t="s">
        <v>63</v>
      </c>
      <c r="E14" s="19">
        <v>387.6</v>
      </c>
      <c r="F14" s="19">
        <v>12.305520000000001</v>
      </c>
      <c r="G14" s="470">
        <v>4769.619552000001</v>
      </c>
      <c r="H14" s="478">
        <f t="shared" si="0"/>
        <v>5746.9145982048012</v>
      </c>
      <c r="I14" s="479">
        <f t="shared" si="1"/>
        <v>2.7613142444695819E-2</v>
      </c>
      <c r="J14" s="485">
        <f t="shared" si="2"/>
        <v>0.62296274495845638</v>
      </c>
    </row>
    <row r="15" spans="1:10">
      <c r="A15" s="414" t="s">
        <v>581</v>
      </c>
      <c r="B15" s="19" t="s">
        <v>259</v>
      </c>
      <c r="C15" s="19" t="s">
        <v>252</v>
      </c>
      <c r="D15" s="19" t="s">
        <v>25</v>
      </c>
      <c r="E15" s="19">
        <v>96.22</v>
      </c>
      <c r="F15" s="19">
        <v>45.1</v>
      </c>
      <c r="G15" s="470">
        <v>4339.5219999999999</v>
      </c>
      <c r="H15" s="478">
        <f t="shared" si="0"/>
        <v>5228.6900578000004</v>
      </c>
      <c r="I15" s="479">
        <f t="shared" si="1"/>
        <v>2.5123144062432608E-2</v>
      </c>
      <c r="J15" s="485">
        <f t="shared" si="2"/>
        <v>0.64808588902088904</v>
      </c>
    </row>
    <row r="16" spans="1:10">
      <c r="A16" s="414" t="s">
        <v>587</v>
      </c>
      <c r="B16" s="19">
        <v>88423</v>
      </c>
      <c r="C16" s="19" t="s">
        <v>283</v>
      </c>
      <c r="D16" s="19" t="s">
        <v>25</v>
      </c>
      <c r="E16" s="19">
        <v>301.02</v>
      </c>
      <c r="F16" s="19">
        <v>13.63</v>
      </c>
      <c r="G16" s="470">
        <v>4102.9026000000003</v>
      </c>
      <c r="H16" s="478">
        <f t="shared" si="0"/>
        <v>4943.5873427400011</v>
      </c>
      <c r="I16" s="479">
        <f t="shared" si="1"/>
        <v>2.3753264321261493E-2</v>
      </c>
      <c r="J16" s="485">
        <f t="shared" si="2"/>
        <v>0.6718391533421505</v>
      </c>
    </row>
    <row r="17" spans="1:10">
      <c r="A17" s="414" t="s">
        <v>343</v>
      </c>
      <c r="B17" s="19">
        <v>97066</v>
      </c>
      <c r="C17" s="19" t="s">
        <v>282</v>
      </c>
      <c r="D17" s="19" t="s">
        <v>25</v>
      </c>
      <c r="E17" s="19">
        <v>27.2</v>
      </c>
      <c r="F17" s="19">
        <v>144.75</v>
      </c>
      <c r="G17" s="470">
        <v>3937.2</v>
      </c>
      <c r="H17" s="478">
        <f t="shared" si="0"/>
        <v>4743.93228</v>
      </c>
      <c r="I17" s="479">
        <f t="shared" si="1"/>
        <v>2.2793948919399336E-2</v>
      </c>
      <c r="J17" s="485">
        <f t="shared" si="2"/>
        <v>0.69463310226154984</v>
      </c>
    </row>
    <row r="18" spans="1:10">
      <c r="A18" s="414" t="s">
        <v>346</v>
      </c>
      <c r="B18" s="19">
        <v>85424</v>
      </c>
      <c r="C18" s="19" t="s">
        <v>247</v>
      </c>
      <c r="D18" s="19" t="s">
        <v>25</v>
      </c>
      <c r="E18" s="19">
        <v>135.87</v>
      </c>
      <c r="F18" s="19">
        <v>21.52</v>
      </c>
      <c r="G18" s="470">
        <v>2923.9223999999999</v>
      </c>
      <c r="H18" s="478">
        <f t="shared" si="0"/>
        <v>3523.0340997600001</v>
      </c>
      <c r="I18" s="479">
        <f t="shared" si="1"/>
        <v>1.6927699337063781E-2</v>
      </c>
      <c r="J18" s="485">
        <f t="shared" si="2"/>
        <v>0.71156080159861357</v>
      </c>
    </row>
    <row r="19" spans="1:10">
      <c r="A19" s="414" t="s">
        <v>580</v>
      </c>
      <c r="B19" s="19" t="s">
        <v>478</v>
      </c>
      <c r="C19" s="19" t="s">
        <v>253</v>
      </c>
      <c r="D19" s="19" t="s">
        <v>26</v>
      </c>
      <c r="E19" s="19">
        <v>28.3</v>
      </c>
      <c r="F19" s="19">
        <v>98.87</v>
      </c>
      <c r="G19" s="470">
        <v>2798.0210000000002</v>
      </c>
      <c r="H19" s="478">
        <f t="shared" si="0"/>
        <v>3371.3355029000004</v>
      </c>
      <c r="I19" s="479">
        <f t="shared" si="1"/>
        <v>1.6198808226507839E-2</v>
      </c>
      <c r="J19" s="485">
        <f t="shared" si="2"/>
        <v>0.72775960982512145</v>
      </c>
    </row>
    <row r="20" spans="1:10">
      <c r="A20" s="414" t="s">
        <v>30</v>
      </c>
      <c r="B20" s="19">
        <v>6391</v>
      </c>
      <c r="C20" s="19" t="s">
        <v>448</v>
      </c>
      <c r="D20" s="19" t="s">
        <v>26</v>
      </c>
      <c r="E20" s="19">
        <v>19.2</v>
      </c>
      <c r="F20" s="19">
        <v>127.66</v>
      </c>
      <c r="G20" s="470">
        <v>2451.0719999999997</v>
      </c>
      <c r="H20" s="478">
        <f t="shared" si="0"/>
        <v>2953.2966527999997</v>
      </c>
      <c r="I20" s="479">
        <f t="shared" si="1"/>
        <v>1.4190188450109206E-2</v>
      </c>
      <c r="J20" s="485">
        <f t="shared" si="2"/>
        <v>0.74194979827523067</v>
      </c>
    </row>
    <row r="21" spans="1:10">
      <c r="A21" s="414" t="s">
        <v>314</v>
      </c>
      <c r="B21" s="19">
        <v>96537</v>
      </c>
      <c r="C21" s="19" t="s">
        <v>67</v>
      </c>
      <c r="D21" s="19" t="s">
        <v>25</v>
      </c>
      <c r="E21" s="19">
        <v>19.8</v>
      </c>
      <c r="F21" s="19">
        <v>122.06</v>
      </c>
      <c r="G21" s="470">
        <v>2416.788</v>
      </c>
      <c r="H21" s="478">
        <f t="shared" si="0"/>
        <v>2911.9878612000002</v>
      </c>
      <c r="I21" s="479">
        <f t="shared" si="1"/>
        <v>1.3991705328918341E-2</v>
      </c>
      <c r="J21" s="485">
        <f t="shared" si="2"/>
        <v>0.75594150360414902</v>
      </c>
    </row>
    <row r="22" spans="1:10">
      <c r="A22" s="414" t="s">
        <v>342</v>
      </c>
      <c r="B22" s="19">
        <v>97064</v>
      </c>
      <c r="C22" s="19" t="s">
        <v>255</v>
      </c>
      <c r="D22" s="19" t="s">
        <v>26</v>
      </c>
      <c r="E22" s="19">
        <v>177.4</v>
      </c>
      <c r="F22" s="19">
        <v>13.26</v>
      </c>
      <c r="G22" s="470">
        <v>2352.3240000000001</v>
      </c>
      <c r="H22" s="478">
        <f t="shared" si="0"/>
        <v>2834.3151876000002</v>
      </c>
      <c r="I22" s="479">
        <f t="shared" si="1"/>
        <v>1.361849870412403E-2</v>
      </c>
      <c r="J22" s="485">
        <f t="shared" si="2"/>
        <v>0.76956000230827304</v>
      </c>
    </row>
    <row r="23" spans="1:10">
      <c r="A23" s="414" t="s">
        <v>328</v>
      </c>
      <c r="B23" s="19">
        <v>97625</v>
      </c>
      <c r="C23" s="19" t="s">
        <v>193</v>
      </c>
      <c r="D23" s="19" t="s">
        <v>22</v>
      </c>
      <c r="E23" s="19">
        <v>60.839999999999996</v>
      </c>
      <c r="F23" s="19">
        <v>35.130000000000003</v>
      </c>
      <c r="G23" s="470">
        <v>2137.3092000000001</v>
      </c>
      <c r="H23" s="478">
        <f t="shared" si="0"/>
        <v>2575.2438550800002</v>
      </c>
      <c r="I23" s="479">
        <f t="shared" si="1"/>
        <v>1.2373696212984422E-2</v>
      </c>
      <c r="J23" s="485">
        <f t="shared" si="2"/>
        <v>0.78193369852125749</v>
      </c>
    </row>
    <row r="24" spans="1:10">
      <c r="A24" s="414" t="s">
        <v>338</v>
      </c>
      <c r="B24" s="19" t="s">
        <v>42</v>
      </c>
      <c r="C24" s="19" t="s">
        <v>423</v>
      </c>
      <c r="D24" s="19" t="s">
        <v>25</v>
      </c>
      <c r="E24" s="19">
        <v>6</v>
      </c>
      <c r="F24" s="19">
        <v>348.98</v>
      </c>
      <c r="G24" s="470">
        <v>2093.88</v>
      </c>
      <c r="H24" s="478">
        <f t="shared" si="0"/>
        <v>2522.9160120000001</v>
      </c>
      <c r="I24" s="479">
        <f t="shared" si="1"/>
        <v>1.2122268049210579E-2</v>
      </c>
      <c r="J24" s="485">
        <f t="shared" si="2"/>
        <v>0.79405596657046806</v>
      </c>
    </row>
    <row r="25" spans="1:10">
      <c r="A25" s="414" t="s">
        <v>32</v>
      </c>
      <c r="B25" s="19">
        <v>9537</v>
      </c>
      <c r="C25" s="19" t="s">
        <v>526</v>
      </c>
      <c r="D25" s="19" t="s">
        <v>25</v>
      </c>
      <c r="E25" s="19">
        <v>980</v>
      </c>
      <c r="F25" s="19">
        <v>2.11</v>
      </c>
      <c r="G25" s="470">
        <v>2067.7999999999997</v>
      </c>
      <c r="H25" s="478">
        <f t="shared" si="0"/>
        <v>2491.4922199999996</v>
      </c>
      <c r="I25" s="479">
        <f t="shared" si="1"/>
        <v>1.1971281005672544E-2</v>
      </c>
      <c r="J25" s="485">
        <f t="shared" si="2"/>
        <v>0.80602724757614064</v>
      </c>
    </row>
    <row r="26" spans="1:10">
      <c r="A26" s="414" t="s">
        <v>416</v>
      </c>
      <c r="B26" s="19" t="s">
        <v>55</v>
      </c>
      <c r="C26" s="19" t="s">
        <v>414</v>
      </c>
      <c r="D26" s="19" t="s">
        <v>25</v>
      </c>
      <c r="E26" s="19">
        <v>195</v>
      </c>
      <c r="F26" s="19">
        <v>10.43</v>
      </c>
      <c r="G26" s="470">
        <v>2033.85</v>
      </c>
      <c r="H26" s="478">
        <f t="shared" si="0"/>
        <v>2450.585865</v>
      </c>
      <c r="I26" s="479">
        <f t="shared" si="1"/>
        <v>1.1774731537569933E-2</v>
      </c>
      <c r="J26" s="485">
        <f t="shared" si="2"/>
        <v>0.81780197911371055</v>
      </c>
    </row>
    <row r="27" spans="1:10">
      <c r="A27" s="414" t="s">
        <v>50</v>
      </c>
      <c r="B27" s="19" t="s">
        <v>124</v>
      </c>
      <c r="C27" s="19" t="s">
        <v>117</v>
      </c>
      <c r="D27" s="19" t="s">
        <v>63</v>
      </c>
      <c r="E27" s="19">
        <v>239.28</v>
      </c>
      <c r="F27" s="19">
        <v>7.8668699999999996</v>
      </c>
      <c r="G27" s="470">
        <v>1882.3846535999999</v>
      </c>
      <c r="H27" s="478">
        <f t="shared" si="0"/>
        <v>2268.0852691226401</v>
      </c>
      <c r="I27" s="479">
        <f t="shared" si="1"/>
        <v>1.0897841014126693E-2</v>
      </c>
      <c r="J27" s="485">
        <f t="shared" si="2"/>
        <v>0.82869982012783727</v>
      </c>
    </row>
    <row r="28" spans="1:10">
      <c r="A28" s="414" t="s">
        <v>318</v>
      </c>
      <c r="B28" s="19">
        <v>96546</v>
      </c>
      <c r="C28" s="19" t="s">
        <v>65</v>
      </c>
      <c r="D28" s="19" t="s">
        <v>63</v>
      </c>
      <c r="E28" s="19">
        <v>232</v>
      </c>
      <c r="F28" s="19">
        <v>7.67</v>
      </c>
      <c r="G28" s="470">
        <v>1779.44</v>
      </c>
      <c r="H28" s="478">
        <f t="shared" si="0"/>
        <v>2144.0472560000003</v>
      </c>
      <c r="I28" s="479">
        <f t="shared" si="1"/>
        <v>1.0301855243608646E-2</v>
      </c>
      <c r="J28" s="485">
        <f t="shared" si="2"/>
        <v>0.83900167537144588</v>
      </c>
    </row>
    <row r="29" spans="1:10">
      <c r="A29" s="414" t="s">
        <v>348</v>
      </c>
      <c r="B29" s="19">
        <v>72897</v>
      </c>
      <c r="C29" s="19" t="s">
        <v>250</v>
      </c>
      <c r="D29" s="19" t="s">
        <v>22</v>
      </c>
      <c r="E29" s="19">
        <v>103.896</v>
      </c>
      <c r="F29" s="19">
        <v>16.579999999999998</v>
      </c>
      <c r="G29" s="470">
        <v>1722.5956799999999</v>
      </c>
      <c r="H29" s="478">
        <f t="shared" si="0"/>
        <v>2075.5555348319999</v>
      </c>
      <c r="I29" s="479">
        <f t="shared" si="1"/>
        <v>9.9727618456512158E-3</v>
      </c>
      <c r="J29" s="485">
        <f t="shared" si="2"/>
        <v>0.84897443721709709</v>
      </c>
    </row>
    <row r="30" spans="1:10">
      <c r="A30" s="414" t="s">
        <v>23</v>
      </c>
      <c r="B30" s="19">
        <v>73686</v>
      </c>
      <c r="C30" s="19" t="s">
        <v>433</v>
      </c>
      <c r="D30" s="19" t="s">
        <v>25</v>
      </c>
      <c r="E30" s="19">
        <v>96.22</v>
      </c>
      <c r="F30" s="19">
        <v>17.57</v>
      </c>
      <c r="G30" s="470">
        <v>1690.5853999999999</v>
      </c>
      <c r="H30" s="478">
        <f t="shared" si="0"/>
        <v>2036.98634846</v>
      </c>
      <c r="I30" s="479">
        <f t="shared" si="1"/>
        <v>9.7874421546993544E-3</v>
      </c>
      <c r="J30" s="485">
        <f t="shared" si="2"/>
        <v>0.85876187937179649</v>
      </c>
    </row>
    <row r="31" spans="1:10">
      <c r="A31" s="414" t="s">
        <v>339</v>
      </c>
      <c r="B31" s="19" t="s">
        <v>246</v>
      </c>
      <c r="C31" s="19" t="s">
        <v>577</v>
      </c>
      <c r="D31" s="19" t="s">
        <v>19</v>
      </c>
      <c r="E31" s="19">
        <v>3</v>
      </c>
      <c r="F31" s="19">
        <v>527.86299999999994</v>
      </c>
      <c r="G31" s="470">
        <v>1583.5889999999999</v>
      </c>
      <c r="H31" s="478">
        <f t="shared" si="0"/>
        <v>1908.0663861</v>
      </c>
      <c r="I31" s="479">
        <f t="shared" si="1"/>
        <v>9.1679992825669712E-3</v>
      </c>
      <c r="J31" s="485">
        <f t="shared" si="2"/>
        <v>0.86792987865436344</v>
      </c>
    </row>
    <row r="32" spans="1:10">
      <c r="A32" s="414" t="s">
        <v>340</v>
      </c>
      <c r="B32" s="19" t="s">
        <v>246</v>
      </c>
      <c r="C32" s="19" t="s">
        <v>578</v>
      </c>
      <c r="D32" s="19" t="s">
        <v>19</v>
      </c>
      <c r="E32" s="19">
        <v>3</v>
      </c>
      <c r="F32" s="19">
        <v>527.86</v>
      </c>
      <c r="G32" s="470">
        <v>1583.58</v>
      </c>
      <c r="H32" s="478">
        <f t="shared" si="0"/>
        <v>1908.0555420000001</v>
      </c>
      <c r="I32" s="479">
        <f t="shared" si="1"/>
        <v>9.1679471781424375E-3</v>
      </c>
      <c r="J32" s="485">
        <f t="shared" si="2"/>
        <v>0.87709782583250584</v>
      </c>
    </row>
    <row r="33" spans="1:10">
      <c r="A33" s="414" t="s">
        <v>584</v>
      </c>
      <c r="B33" s="19" t="s">
        <v>258</v>
      </c>
      <c r="C33" s="19" t="s">
        <v>257</v>
      </c>
      <c r="D33" s="19" t="s">
        <v>25</v>
      </c>
      <c r="E33" s="19">
        <v>96.22</v>
      </c>
      <c r="F33" s="19">
        <v>15.96</v>
      </c>
      <c r="G33" s="470">
        <v>1535.6712</v>
      </c>
      <c r="H33" s="478">
        <f t="shared" si="0"/>
        <v>1850.33022888</v>
      </c>
      <c r="I33" s="479">
        <f t="shared" si="1"/>
        <v>8.8905849054639555E-3</v>
      </c>
      <c r="J33" s="485">
        <f t="shared" si="2"/>
        <v>0.88598841073796974</v>
      </c>
    </row>
    <row r="34" spans="1:10">
      <c r="A34" s="414" t="s">
        <v>27</v>
      </c>
      <c r="B34" s="19" t="s">
        <v>185</v>
      </c>
      <c r="C34" s="19" t="s">
        <v>184</v>
      </c>
      <c r="D34" s="19" t="s">
        <v>25</v>
      </c>
      <c r="E34" s="19">
        <v>90.24</v>
      </c>
      <c r="F34" s="19">
        <v>16.344000000000001</v>
      </c>
      <c r="G34" s="470">
        <v>1474.88256</v>
      </c>
      <c r="H34" s="478">
        <f t="shared" si="0"/>
        <v>1777.0859965440002</v>
      </c>
      <c r="I34" s="479">
        <f t="shared" si="1"/>
        <v>8.5386563381979405E-3</v>
      </c>
      <c r="J34" s="485">
        <f t="shared" si="2"/>
        <v>0.89452706707616769</v>
      </c>
    </row>
    <row r="35" spans="1:10">
      <c r="A35" s="414" t="s">
        <v>317</v>
      </c>
      <c r="B35" s="19">
        <v>96555</v>
      </c>
      <c r="C35" s="19" t="s">
        <v>62</v>
      </c>
      <c r="D35" s="19" t="s">
        <v>22</v>
      </c>
      <c r="E35" s="19">
        <v>3</v>
      </c>
      <c r="F35" s="19">
        <v>446.85</v>
      </c>
      <c r="G35" s="470">
        <v>1340.5500000000002</v>
      </c>
      <c r="H35" s="478">
        <f t="shared" si="0"/>
        <v>1615.2286950000002</v>
      </c>
      <c r="I35" s="479">
        <f t="shared" si="1"/>
        <v>7.7609540343139254E-3</v>
      </c>
      <c r="J35" s="485">
        <f t="shared" si="2"/>
        <v>0.90228802111048156</v>
      </c>
    </row>
    <row r="36" spans="1:10">
      <c r="A36" s="414" t="s">
        <v>329</v>
      </c>
      <c r="B36" s="19">
        <v>97627</v>
      </c>
      <c r="C36" s="19" t="s">
        <v>466</v>
      </c>
      <c r="D36" s="19" t="s">
        <v>22</v>
      </c>
      <c r="E36" s="19">
        <v>7.2</v>
      </c>
      <c r="F36" s="19">
        <v>168.42</v>
      </c>
      <c r="G36" s="470">
        <v>1212.624</v>
      </c>
      <c r="H36" s="478">
        <f t="shared" si="0"/>
        <v>1461.0906576000002</v>
      </c>
      <c r="I36" s="479">
        <f t="shared" si="1"/>
        <v>7.0203417439900703E-3</v>
      </c>
      <c r="J36" s="485">
        <f t="shared" si="2"/>
        <v>0.90930836285447159</v>
      </c>
    </row>
    <row r="37" spans="1:10">
      <c r="A37" s="414" t="s">
        <v>325</v>
      </c>
      <c r="B37" s="19" t="s">
        <v>135</v>
      </c>
      <c r="C37" s="19" t="s">
        <v>146</v>
      </c>
      <c r="D37" s="19" t="s">
        <v>63</v>
      </c>
      <c r="E37" s="19">
        <v>120</v>
      </c>
      <c r="F37" s="19">
        <v>9.9727599999999992</v>
      </c>
      <c r="G37" s="470">
        <v>1196.7311999999999</v>
      </c>
      <c r="H37" s="478">
        <f t="shared" si="0"/>
        <v>1441.9414228800001</v>
      </c>
      <c r="I37" s="479">
        <f t="shared" si="1"/>
        <v>6.9283322775199312E-3</v>
      </c>
      <c r="J37" s="485">
        <f t="shared" si="2"/>
        <v>0.91623669513199146</v>
      </c>
    </row>
    <row r="38" spans="1:10">
      <c r="A38" s="414" t="s">
        <v>582</v>
      </c>
      <c r="B38" s="19">
        <v>94263</v>
      </c>
      <c r="C38" s="19" t="s">
        <v>254</v>
      </c>
      <c r="D38" s="19" t="s">
        <v>26</v>
      </c>
      <c r="E38" s="19">
        <v>56.6</v>
      </c>
      <c r="F38" s="19">
        <v>20.57</v>
      </c>
      <c r="G38" s="470">
        <v>1164.2619999999999</v>
      </c>
      <c r="H38" s="478">
        <f t="shared" si="0"/>
        <v>1402.8192838</v>
      </c>
      <c r="I38" s="479">
        <f t="shared" si="1"/>
        <v>6.7403557240672844E-3</v>
      </c>
      <c r="J38" s="485">
        <f t="shared" si="2"/>
        <v>0.92297705085605874</v>
      </c>
    </row>
    <row r="39" spans="1:10">
      <c r="A39" s="414" t="s">
        <v>334</v>
      </c>
      <c r="B39" s="19" t="s">
        <v>221</v>
      </c>
      <c r="C39" s="19" t="s">
        <v>214</v>
      </c>
      <c r="D39" s="19" t="s">
        <v>63</v>
      </c>
      <c r="E39" s="19">
        <v>173.4</v>
      </c>
      <c r="F39" s="19">
        <v>6.6890999999999998</v>
      </c>
      <c r="G39" s="470">
        <v>1159.88994</v>
      </c>
      <c r="H39" s="478">
        <f t="shared" si="0"/>
        <v>1397.5513887060001</v>
      </c>
      <c r="I39" s="479">
        <f t="shared" si="1"/>
        <v>6.7150442051420204E-3</v>
      </c>
      <c r="J39" s="485">
        <f t="shared" si="2"/>
        <v>0.92969209506120076</v>
      </c>
    </row>
    <row r="40" spans="1:10">
      <c r="A40" s="414" t="s">
        <v>350</v>
      </c>
      <c r="B40" s="19" t="s">
        <v>210</v>
      </c>
      <c r="C40" s="19" t="s">
        <v>434</v>
      </c>
      <c r="D40" s="19" t="s">
        <v>128</v>
      </c>
      <c r="E40" s="19">
        <v>12</v>
      </c>
      <c r="F40" s="19">
        <v>96.24</v>
      </c>
      <c r="G40" s="470">
        <v>1154.8799999999999</v>
      </c>
      <c r="H40" s="478">
        <f t="shared" si="0"/>
        <v>1391.5149119999999</v>
      </c>
      <c r="I40" s="479">
        <f t="shared" si="1"/>
        <v>6.6860397561810184E-3</v>
      </c>
      <c r="J40" s="485">
        <f t="shared" si="2"/>
        <v>0.93637813481738175</v>
      </c>
    </row>
    <row r="41" spans="1:10">
      <c r="A41" s="414" t="s">
        <v>21</v>
      </c>
      <c r="B41" s="19" t="s">
        <v>42</v>
      </c>
      <c r="C41" s="19" t="s">
        <v>420</v>
      </c>
      <c r="D41" s="19" t="s">
        <v>25</v>
      </c>
      <c r="E41" s="19">
        <v>3</v>
      </c>
      <c r="F41" s="19">
        <v>348.98</v>
      </c>
      <c r="G41" s="470">
        <v>1046.94</v>
      </c>
      <c r="H41" s="478">
        <f t="shared" si="0"/>
        <v>1261.4580060000001</v>
      </c>
      <c r="I41" s="479">
        <f t="shared" si="1"/>
        <v>6.0611340246052893E-3</v>
      </c>
      <c r="J41" s="485">
        <f t="shared" si="2"/>
        <v>0.94243926884198703</v>
      </c>
    </row>
    <row r="42" spans="1:10">
      <c r="A42" s="414" t="s">
        <v>24</v>
      </c>
      <c r="B42" s="19" t="s">
        <v>440</v>
      </c>
      <c r="C42" s="19" t="s">
        <v>58</v>
      </c>
      <c r="D42" s="19" t="s">
        <v>22</v>
      </c>
      <c r="E42" s="19">
        <v>4.82</v>
      </c>
      <c r="F42" s="19">
        <v>177.68</v>
      </c>
      <c r="G42" s="470">
        <v>856.41760000000011</v>
      </c>
      <c r="H42" s="478">
        <f t="shared" si="0"/>
        <v>1031.8975662400003</v>
      </c>
      <c r="I42" s="479">
        <f t="shared" si="1"/>
        <v>4.9581273565159449E-3</v>
      </c>
      <c r="J42" s="485">
        <f t="shared" si="2"/>
        <v>0.94739739619850294</v>
      </c>
    </row>
    <row r="43" spans="1:10">
      <c r="A43" s="414" t="s">
        <v>324</v>
      </c>
      <c r="B43" s="19">
        <v>83736</v>
      </c>
      <c r="C43" s="19" t="s">
        <v>139</v>
      </c>
      <c r="D43" s="19" t="s">
        <v>25</v>
      </c>
      <c r="E43" s="19">
        <v>5</v>
      </c>
      <c r="F43" s="19">
        <v>161.04</v>
      </c>
      <c r="G43" s="470">
        <v>805.19999999999993</v>
      </c>
      <c r="H43" s="478">
        <f t="shared" si="0"/>
        <v>970.18547999999998</v>
      </c>
      <c r="I43" s="479">
        <f t="shared" si="1"/>
        <v>4.6616091816266249E-3</v>
      </c>
      <c r="J43" s="485">
        <f t="shared" si="2"/>
        <v>0.95205900538012955</v>
      </c>
    </row>
    <row r="44" spans="1:10">
      <c r="A44" s="414" t="s">
        <v>353</v>
      </c>
      <c r="B44" s="19">
        <v>83736</v>
      </c>
      <c r="C44" s="19" t="s">
        <v>139</v>
      </c>
      <c r="D44" s="19" t="s">
        <v>25</v>
      </c>
      <c r="E44" s="19">
        <v>5</v>
      </c>
      <c r="F44" s="19">
        <v>161.04</v>
      </c>
      <c r="G44" s="470">
        <v>805.19999999999993</v>
      </c>
      <c r="H44" s="478">
        <f t="shared" si="0"/>
        <v>970.18547999999998</v>
      </c>
      <c r="I44" s="479">
        <f t="shared" si="1"/>
        <v>4.6616091816266249E-3</v>
      </c>
      <c r="J44" s="485">
        <f t="shared" si="2"/>
        <v>0.95672061456175617</v>
      </c>
    </row>
    <row r="45" spans="1:10">
      <c r="A45" s="414" t="s">
        <v>319</v>
      </c>
      <c r="B45" s="19" t="s">
        <v>64</v>
      </c>
      <c r="C45" s="19" t="s">
        <v>445</v>
      </c>
      <c r="D45" s="19" t="s">
        <v>63</v>
      </c>
      <c r="E45" s="19">
        <v>73</v>
      </c>
      <c r="F45" s="19">
        <v>9.7799999999999994</v>
      </c>
      <c r="G45" s="470">
        <v>713.93999999999994</v>
      </c>
      <c r="H45" s="478">
        <f t="shared" si="0"/>
        <v>860.22630600000002</v>
      </c>
      <c r="I45" s="479">
        <f t="shared" si="1"/>
        <v>4.1332703168535925E-3</v>
      </c>
      <c r="J45" s="485">
        <f t="shared" si="2"/>
        <v>0.96085388487860979</v>
      </c>
    </row>
    <row r="46" spans="1:10">
      <c r="A46" s="414" t="s">
        <v>49</v>
      </c>
      <c r="B46" s="19" t="s">
        <v>113</v>
      </c>
      <c r="C46" s="19" t="s">
        <v>118</v>
      </c>
      <c r="D46" s="19" t="s">
        <v>63</v>
      </c>
      <c r="E46" s="19">
        <v>95.76</v>
      </c>
      <c r="F46" s="19">
        <v>6.9218700000000002</v>
      </c>
      <c r="G46" s="470">
        <v>662.83827120000001</v>
      </c>
      <c r="H46" s="478">
        <f t="shared" si="0"/>
        <v>798.65383296888001</v>
      </c>
      <c r="I46" s="479">
        <f t="shared" si="1"/>
        <v>3.8374229644304999E-3</v>
      </c>
      <c r="J46" s="485">
        <f t="shared" si="2"/>
        <v>0.96469130784304025</v>
      </c>
    </row>
    <row r="47" spans="1:10">
      <c r="A47" s="414" t="s">
        <v>18</v>
      </c>
      <c r="B47" s="19" t="s">
        <v>241</v>
      </c>
      <c r="C47" s="19" t="s">
        <v>240</v>
      </c>
      <c r="D47" s="19" t="s">
        <v>25</v>
      </c>
      <c r="E47" s="19">
        <v>912.94</v>
      </c>
      <c r="F47" s="19">
        <v>0.66</v>
      </c>
      <c r="G47" s="470">
        <v>602.54040000000009</v>
      </c>
      <c r="H47" s="478">
        <f t="shared" si="0"/>
        <v>726.00092796000013</v>
      </c>
      <c r="I47" s="479">
        <f t="shared" si="1"/>
        <v>3.4883356444870587E-3</v>
      </c>
      <c r="J47" s="485">
        <f t="shared" si="2"/>
        <v>0.96817964348752727</v>
      </c>
    </row>
    <row r="48" spans="1:10">
      <c r="A48" s="414" t="s">
        <v>54</v>
      </c>
      <c r="B48" s="19">
        <v>85178</v>
      </c>
      <c r="C48" s="19" t="s">
        <v>413</v>
      </c>
      <c r="D48" s="19" t="s">
        <v>128</v>
      </c>
      <c r="E48" s="19">
        <v>10</v>
      </c>
      <c r="F48" s="19">
        <v>59.56</v>
      </c>
      <c r="G48" s="470">
        <v>595.6</v>
      </c>
      <c r="H48" s="478">
        <f t="shared" si="0"/>
        <v>717.63844000000006</v>
      </c>
      <c r="I48" s="479">
        <f t="shared" si="1"/>
        <v>3.4481550280387701E-3</v>
      </c>
      <c r="J48" s="485">
        <f t="shared" si="2"/>
        <v>0.97162779851556602</v>
      </c>
    </row>
    <row r="49" spans="1:10">
      <c r="A49" s="414" t="s">
        <v>585</v>
      </c>
      <c r="B49" s="19" t="s">
        <v>260</v>
      </c>
      <c r="C49" s="19" t="s">
        <v>261</v>
      </c>
      <c r="D49" s="19" t="s">
        <v>25</v>
      </c>
      <c r="E49" s="19">
        <v>33.4</v>
      </c>
      <c r="F49" s="19">
        <v>14.39</v>
      </c>
      <c r="G49" s="470">
        <v>480.62599999999998</v>
      </c>
      <c r="H49" s="478">
        <f t="shared" si="0"/>
        <v>579.10626739999998</v>
      </c>
      <c r="I49" s="479">
        <f t="shared" si="1"/>
        <v>2.7825267939996E-3</v>
      </c>
      <c r="J49" s="485">
        <f t="shared" si="2"/>
        <v>0.97441032530956562</v>
      </c>
    </row>
    <row r="50" spans="1:10">
      <c r="A50" s="414" t="s">
        <v>351</v>
      </c>
      <c r="B50" s="19" t="s">
        <v>224</v>
      </c>
      <c r="C50" s="19" t="s">
        <v>225</v>
      </c>
      <c r="D50" s="19" t="s">
        <v>63</v>
      </c>
      <c r="E50" s="19">
        <v>74.8</v>
      </c>
      <c r="F50" s="19">
        <v>6.4160999999999992</v>
      </c>
      <c r="G50" s="470">
        <v>479.92427999999995</v>
      </c>
      <c r="H50" s="478">
        <f t="shared" si="0"/>
        <v>578.26076497199995</v>
      </c>
      <c r="I50" s="479">
        <f t="shared" si="1"/>
        <v>2.7784642699125021E-3</v>
      </c>
      <c r="J50" s="485">
        <f t="shared" si="2"/>
        <v>0.97718878957947808</v>
      </c>
    </row>
    <row r="51" spans="1:10">
      <c r="A51" s="414" t="s">
        <v>313</v>
      </c>
      <c r="B51" s="19">
        <v>96523</v>
      </c>
      <c r="C51" s="19" t="s">
        <v>57</v>
      </c>
      <c r="D51" s="19" t="s">
        <v>22</v>
      </c>
      <c r="E51" s="19">
        <v>7.06</v>
      </c>
      <c r="F51" s="19">
        <v>61.48</v>
      </c>
      <c r="G51" s="470">
        <v>434.04879999999997</v>
      </c>
      <c r="H51" s="478">
        <f t="shared" si="0"/>
        <v>522.98539912000001</v>
      </c>
      <c r="I51" s="479">
        <f t="shared" si="1"/>
        <v>2.5128736603999237E-3</v>
      </c>
      <c r="J51" s="485">
        <f t="shared" si="2"/>
        <v>0.97970166323987795</v>
      </c>
    </row>
    <row r="52" spans="1:10">
      <c r="A52" s="414" t="s">
        <v>52</v>
      </c>
      <c r="B52" s="19">
        <v>97647</v>
      </c>
      <c r="C52" s="19" t="s">
        <v>191</v>
      </c>
      <c r="D52" s="19" t="s">
        <v>25</v>
      </c>
      <c r="E52" s="19">
        <v>191.78</v>
      </c>
      <c r="F52" s="19">
        <v>2.21</v>
      </c>
      <c r="G52" s="470">
        <v>423.8338</v>
      </c>
      <c r="H52" s="478">
        <f t="shared" si="0"/>
        <v>510.67734562000004</v>
      </c>
      <c r="I52" s="479">
        <f t="shared" si="1"/>
        <v>2.453735138554027E-3</v>
      </c>
      <c r="J52" s="485">
        <f t="shared" si="2"/>
        <v>0.98215539837843202</v>
      </c>
    </row>
    <row r="53" spans="1:10">
      <c r="A53" s="414" t="s">
        <v>311</v>
      </c>
      <c r="B53" s="19" t="s">
        <v>441</v>
      </c>
      <c r="C53" s="19" t="s">
        <v>442</v>
      </c>
      <c r="D53" s="19" t="s">
        <v>26</v>
      </c>
      <c r="E53" s="19">
        <v>56.6</v>
      </c>
      <c r="F53" s="19">
        <v>6.83</v>
      </c>
      <c r="G53" s="470">
        <v>386.57800000000003</v>
      </c>
      <c r="H53" s="478">
        <f t="shared" si="0"/>
        <v>465.78783220000008</v>
      </c>
      <c r="I53" s="479">
        <f t="shared" si="1"/>
        <v>2.2380471363820883E-3</v>
      </c>
      <c r="J53" s="485">
        <f t="shared" si="2"/>
        <v>0.98439344551481411</v>
      </c>
    </row>
    <row r="54" spans="1:10">
      <c r="A54" s="414" t="s">
        <v>29</v>
      </c>
      <c r="B54" s="19" t="s">
        <v>126</v>
      </c>
      <c r="C54" s="19" t="s">
        <v>121</v>
      </c>
      <c r="D54" s="19" t="s">
        <v>63</v>
      </c>
      <c r="E54" s="19">
        <v>54</v>
      </c>
      <c r="F54" s="19">
        <v>6.9218700000000002</v>
      </c>
      <c r="G54" s="470">
        <v>373.78098</v>
      </c>
      <c r="H54" s="478">
        <f t="shared" si="0"/>
        <v>450.36870280200003</v>
      </c>
      <c r="I54" s="479">
        <f t="shared" si="1"/>
        <v>2.163960318287876E-3</v>
      </c>
      <c r="J54" s="485">
        <f t="shared" si="2"/>
        <v>0.98655740583310203</v>
      </c>
    </row>
    <row r="55" spans="1:10">
      <c r="A55" s="414" t="s">
        <v>344</v>
      </c>
      <c r="B55" s="19" t="s">
        <v>47</v>
      </c>
      <c r="C55" s="19" t="s">
        <v>517</v>
      </c>
      <c r="D55" s="19" t="s">
        <v>25</v>
      </c>
      <c r="E55" s="19">
        <v>113.2</v>
      </c>
      <c r="F55" s="19">
        <v>3.29</v>
      </c>
      <c r="G55" s="470">
        <v>372.428</v>
      </c>
      <c r="H55" s="478">
        <f t="shared" si="0"/>
        <v>448.73849720000004</v>
      </c>
      <c r="I55" s="479">
        <f t="shared" si="1"/>
        <v>2.1561274022539006E-3</v>
      </c>
      <c r="J55" s="485">
        <f t="shared" si="2"/>
        <v>0.98871353323535593</v>
      </c>
    </row>
    <row r="56" spans="1:10">
      <c r="A56" s="414" t="s">
        <v>347</v>
      </c>
      <c r="B56" s="19">
        <v>3777</v>
      </c>
      <c r="C56" s="19" t="s">
        <v>438</v>
      </c>
      <c r="D56" s="19" t="s">
        <v>25</v>
      </c>
      <c r="E56" s="19">
        <v>258.8</v>
      </c>
      <c r="F56" s="19">
        <v>1.05</v>
      </c>
      <c r="G56" s="470">
        <v>271.74</v>
      </c>
      <c r="H56" s="478">
        <f t="shared" si="0"/>
        <v>327.41952600000002</v>
      </c>
      <c r="I56" s="479">
        <f t="shared" si="1"/>
        <v>1.5732062580914295E-3</v>
      </c>
      <c r="J56" s="485">
        <f t="shared" si="2"/>
        <v>0.99028673949344737</v>
      </c>
    </row>
    <row r="57" spans="1:10">
      <c r="A57" s="414" t="s">
        <v>349</v>
      </c>
      <c r="B57" s="19">
        <v>4004</v>
      </c>
      <c r="C57" s="19" t="s">
        <v>232</v>
      </c>
      <c r="D57" s="19" t="s">
        <v>22</v>
      </c>
      <c r="E57" s="19">
        <v>0.19200000000000006</v>
      </c>
      <c r="F57" s="19">
        <v>1390</v>
      </c>
      <c r="G57" s="470">
        <v>266.88000000000011</v>
      </c>
      <c r="H57" s="478">
        <f t="shared" si="0"/>
        <v>321.56371200000018</v>
      </c>
      <c r="I57" s="479">
        <f t="shared" si="1"/>
        <v>1.5450698688431622E-3</v>
      </c>
      <c r="J57" s="485">
        <f t="shared" si="2"/>
        <v>0.99183180936229054</v>
      </c>
    </row>
    <row r="58" spans="1:10">
      <c r="A58" s="414" t="s">
        <v>326</v>
      </c>
      <c r="B58" s="19" t="s">
        <v>210</v>
      </c>
      <c r="C58" s="19" t="s">
        <v>234</v>
      </c>
      <c r="D58" s="19" t="s">
        <v>128</v>
      </c>
      <c r="E58" s="19">
        <v>24</v>
      </c>
      <c r="F58" s="19">
        <v>10.4</v>
      </c>
      <c r="G58" s="470">
        <v>249.60000000000002</v>
      </c>
      <c r="H58" s="478">
        <f t="shared" si="0"/>
        <v>300.74304000000006</v>
      </c>
      <c r="I58" s="479">
        <f t="shared" si="1"/>
        <v>1.4450293737382088E-3</v>
      </c>
      <c r="J58" s="485">
        <f t="shared" si="2"/>
        <v>0.99327683873602879</v>
      </c>
    </row>
    <row r="59" spans="1:10">
      <c r="A59" s="414" t="s">
        <v>15</v>
      </c>
      <c r="B59" s="19" t="s">
        <v>40</v>
      </c>
      <c r="C59" s="19" t="s">
        <v>519</v>
      </c>
      <c r="D59" s="19" t="s">
        <v>128</v>
      </c>
      <c r="E59" s="19">
        <v>1</v>
      </c>
      <c r="F59" s="19">
        <v>218.54</v>
      </c>
      <c r="G59" s="470">
        <v>218.54</v>
      </c>
      <c r="H59" s="478">
        <f t="shared" si="0"/>
        <v>263.31884600000001</v>
      </c>
      <c r="I59" s="479">
        <f t="shared" si="1"/>
        <v>1.2652112152914587E-3</v>
      </c>
      <c r="J59" s="485">
        <f t="shared" si="2"/>
        <v>0.99454204995132023</v>
      </c>
    </row>
    <row r="60" spans="1:10">
      <c r="A60" s="414" t="s">
        <v>352</v>
      </c>
      <c r="B60" s="19">
        <v>11964</v>
      </c>
      <c r="C60" s="19" t="s">
        <v>226</v>
      </c>
      <c r="D60" s="19" t="s">
        <v>128</v>
      </c>
      <c r="E60" s="19">
        <v>140</v>
      </c>
      <c r="F60" s="19">
        <v>1.26</v>
      </c>
      <c r="G60" s="470">
        <v>176.4</v>
      </c>
      <c r="H60" s="478">
        <f t="shared" si="0"/>
        <v>212.54436000000001</v>
      </c>
      <c r="I60" s="479">
        <f t="shared" si="1"/>
        <v>1.0212467208630608E-3</v>
      </c>
      <c r="J60" s="485">
        <f t="shared" si="2"/>
        <v>0.99556329667218324</v>
      </c>
    </row>
    <row r="61" spans="1:10">
      <c r="A61" s="414" t="s">
        <v>321</v>
      </c>
      <c r="B61" s="19" t="s">
        <v>70</v>
      </c>
      <c r="C61" s="19" t="s">
        <v>69</v>
      </c>
      <c r="D61" s="19" t="s">
        <v>25</v>
      </c>
      <c r="E61" s="19">
        <v>19.8</v>
      </c>
      <c r="F61" s="19">
        <v>8.35</v>
      </c>
      <c r="G61" s="470">
        <v>165.33</v>
      </c>
      <c r="H61" s="478">
        <f t="shared" si="0"/>
        <v>199.20611700000003</v>
      </c>
      <c r="I61" s="479">
        <f t="shared" si="1"/>
        <v>9.5715827868645049E-4</v>
      </c>
      <c r="J61" s="485">
        <f t="shared" si="2"/>
        <v>0.99652045495086972</v>
      </c>
    </row>
    <row r="62" spans="1:10">
      <c r="A62" s="414" t="s">
        <v>524</v>
      </c>
      <c r="B62" s="19" t="s">
        <v>477</v>
      </c>
      <c r="C62" s="19" t="s">
        <v>229</v>
      </c>
      <c r="D62" s="19" t="s">
        <v>230</v>
      </c>
      <c r="E62" s="19">
        <v>5</v>
      </c>
      <c r="F62" s="19">
        <v>24.89</v>
      </c>
      <c r="G62" s="470">
        <v>124.45</v>
      </c>
      <c r="H62" s="478">
        <f t="shared" si="0"/>
        <v>149.94980500000003</v>
      </c>
      <c r="I62" s="479">
        <f t="shared" si="1"/>
        <v>7.2048840369278876E-4</v>
      </c>
      <c r="J62" s="485">
        <f t="shared" si="2"/>
        <v>0.99724094335456248</v>
      </c>
    </row>
    <row r="63" spans="1:10">
      <c r="A63" s="414" t="s">
        <v>323</v>
      </c>
      <c r="B63" s="19">
        <v>11963</v>
      </c>
      <c r="C63" s="19" t="s">
        <v>127</v>
      </c>
      <c r="D63" s="19" t="s">
        <v>128</v>
      </c>
      <c r="E63" s="19">
        <v>24</v>
      </c>
      <c r="F63" s="19">
        <v>5.0199999999999996</v>
      </c>
      <c r="G63" s="470">
        <v>120.47999999999999</v>
      </c>
      <c r="H63" s="478">
        <f t="shared" si="0"/>
        <v>145.16635199999999</v>
      </c>
      <c r="I63" s="479">
        <f t="shared" si="1"/>
        <v>6.97504563092866E-4</v>
      </c>
      <c r="J63" s="485">
        <f t="shared" si="2"/>
        <v>0.9979384479176554</v>
      </c>
    </row>
    <row r="64" spans="1:10">
      <c r="A64" s="414" t="s">
        <v>320</v>
      </c>
      <c r="B64" s="19">
        <v>73548</v>
      </c>
      <c r="C64" s="19" t="s">
        <v>153</v>
      </c>
      <c r="D64" s="19" t="s">
        <v>22</v>
      </c>
      <c r="E64" s="19">
        <v>0.2</v>
      </c>
      <c r="F64" s="19">
        <v>475.91</v>
      </c>
      <c r="G64" s="470">
        <v>95.182000000000016</v>
      </c>
      <c r="H64" s="478">
        <f t="shared" si="0"/>
        <v>114.68479180000003</v>
      </c>
      <c r="I64" s="479">
        <f t="shared" si="1"/>
        <v>5.5104481510877485E-4</v>
      </c>
      <c r="J64" s="485">
        <f t="shared" si="2"/>
        <v>0.99848949273276422</v>
      </c>
    </row>
    <row r="65" spans="1:10">
      <c r="A65" s="414" t="s">
        <v>583</v>
      </c>
      <c r="B65" s="19" t="s">
        <v>479</v>
      </c>
      <c r="C65" s="19" t="s">
        <v>276</v>
      </c>
      <c r="D65" s="19" t="s">
        <v>25</v>
      </c>
      <c r="E65" s="19">
        <v>1.5</v>
      </c>
      <c r="F65" s="19">
        <v>61.95</v>
      </c>
      <c r="G65" s="470">
        <v>92.925000000000011</v>
      </c>
      <c r="H65" s="478">
        <f t="shared" si="0"/>
        <v>111.96533250000002</v>
      </c>
      <c r="I65" s="479">
        <f t="shared" si="1"/>
        <v>5.3797818331179103E-4</v>
      </c>
      <c r="J65" s="485">
        <f t="shared" si="2"/>
        <v>0.99902747091607602</v>
      </c>
    </row>
    <row r="66" spans="1:10">
      <c r="A66" s="414" t="s">
        <v>316</v>
      </c>
      <c r="B66" s="19">
        <v>94969</v>
      </c>
      <c r="C66" s="19" t="s">
        <v>73</v>
      </c>
      <c r="D66" s="19" t="s">
        <v>22</v>
      </c>
      <c r="E66" s="19">
        <v>0.3</v>
      </c>
      <c r="F66" s="19">
        <v>284.52</v>
      </c>
      <c r="G66" s="470">
        <v>85.355999999999995</v>
      </c>
      <c r="H66" s="478">
        <f t="shared" si="0"/>
        <v>102.84544440000001</v>
      </c>
      <c r="I66" s="479">
        <f t="shared" si="1"/>
        <v>4.9415836227884025E-4</v>
      </c>
      <c r="J66" s="485">
        <f t="shared" si="2"/>
        <v>0.99952162927835486</v>
      </c>
    </row>
    <row r="67" spans="1:10">
      <c r="A67" s="414" t="s">
        <v>327</v>
      </c>
      <c r="B67" s="19">
        <v>11971</v>
      </c>
      <c r="C67" s="19" t="s">
        <v>238</v>
      </c>
      <c r="D67" s="19" t="s">
        <v>128</v>
      </c>
      <c r="E67" s="19">
        <v>24</v>
      </c>
      <c r="F67" s="19">
        <v>2.44</v>
      </c>
      <c r="G67" s="470">
        <v>58.56</v>
      </c>
      <c r="H67" s="478">
        <f t="shared" ref="H67:H68" si="3">G67*F$71</f>
        <v>70.558944000000011</v>
      </c>
      <c r="I67" s="479">
        <f t="shared" ref="I67:I68" si="4">H67/G$71</f>
        <v>3.390261223001182E-4</v>
      </c>
      <c r="J67" s="485">
        <f t="shared" si="2"/>
        <v>0.99986065540065494</v>
      </c>
    </row>
    <row r="68" spans="1:10" ht="15.75" thickBot="1">
      <c r="A68" s="416" t="s">
        <v>315</v>
      </c>
      <c r="B68" s="417">
        <v>4718</v>
      </c>
      <c r="C68" s="417" t="s">
        <v>71</v>
      </c>
      <c r="D68" s="417" t="s">
        <v>22</v>
      </c>
      <c r="E68" s="417">
        <v>0.3</v>
      </c>
      <c r="F68" s="417">
        <v>80.23</v>
      </c>
      <c r="G68" s="486">
        <v>24.068999999999999</v>
      </c>
      <c r="H68" s="487">
        <f t="shared" si="3"/>
        <v>29.0007381</v>
      </c>
      <c r="I68" s="488">
        <f t="shared" si="4"/>
        <v>1.3934459934497172E-4</v>
      </c>
      <c r="J68" s="489">
        <f t="shared" ref="J68" si="5">I68+J67</f>
        <v>0.99999999999999989</v>
      </c>
    </row>
    <row r="69" spans="1:10" ht="15.75" thickBot="1"/>
    <row r="70" spans="1:10">
      <c r="F70" s="490"/>
      <c r="G70" s="491">
        <f>SUM(G2:G69)</f>
        <v>172730.05278383999</v>
      </c>
    </row>
    <row r="71" spans="1:10" ht="15.75" thickBot="1">
      <c r="E71" s="357" t="s">
        <v>503</v>
      </c>
      <c r="F71" s="492">
        <v>1.2049000000000001</v>
      </c>
      <c r="G71" s="493">
        <f>G70*F71</f>
        <v>208122.4405992488</v>
      </c>
    </row>
  </sheetData>
  <autoFilter ref="A1:G1">
    <sortState ref="A2:G69">
      <sortCondition descending="1" ref="G1"/>
    </sortState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1"/>
  <sheetViews>
    <sheetView topLeftCell="D49" zoomScale="90" zoomScaleNormal="90" workbookViewId="0">
      <selection activeCell="K71" sqref="K71"/>
    </sheetView>
  </sheetViews>
  <sheetFormatPr defaultRowHeight="15"/>
  <cols>
    <col min="1" max="1" width="9.28515625"/>
    <col min="5" max="5" width="26.42578125" customWidth="1"/>
    <col min="6" max="6" width="16.7109375" style="13" customWidth="1"/>
    <col min="7" max="7" width="19" customWidth="1"/>
    <col min="8" max="8" width="59.85546875" customWidth="1"/>
    <col min="10" max="10" width="12.7109375" customWidth="1"/>
    <col min="11" max="11" width="16.28515625" customWidth="1"/>
    <col min="12" max="12" width="17.28515625" customWidth="1"/>
    <col min="13" max="13" width="17.7109375" hidden="1" customWidth="1"/>
    <col min="14" max="14" width="50.140625" hidden="1" customWidth="1"/>
    <col min="15" max="16" width="0" hidden="1" customWidth="1"/>
  </cols>
  <sheetData>
    <row r="1" spans="1:18" s="357" customFormat="1" ht="15.75" thickBot="1">
      <c r="E1" s="62"/>
      <c r="F1" s="62"/>
      <c r="G1" s="62"/>
      <c r="H1" s="63"/>
      <c r="I1" s="9"/>
      <c r="J1" s="49"/>
      <c r="K1" s="15"/>
      <c r="L1" s="408"/>
    </row>
    <row r="2" spans="1:18" s="357" customFormat="1">
      <c r="E2" s="733" t="s">
        <v>528</v>
      </c>
      <c r="F2" s="734"/>
      <c r="G2" s="734"/>
      <c r="H2" s="734"/>
      <c r="I2" s="734"/>
      <c r="J2" s="734"/>
      <c r="K2" s="734"/>
      <c r="L2" s="735"/>
    </row>
    <row r="3" spans="1:18" s="357" customFormat="1">
      <c r="E3" s="736"/>
      <c r="F3" s="737"/>
      <c r="G3" s="737"/>
      <c r="H3" s="737"/>
      <c r="I3" s="737"/>
      <c r="J3" s="737"/>
      <c r="K3" s="737"/>
      <c r="L3" s="738"/>
    </row>
    <row r="4" spans="1:18" s="357" customFormat="1">
      <c r="E4" s="736"/>
      <c r="F4" s="737"/>
      <c r="G4" s="737"/>
      <c r="H4" s="737"/>
      <c r="I4" s="737"/>
      <c r="J4" s="737"/>
      <c r="K4" s="737"/>
      <c r="L4" s="738"/>
    </row>
    <row r="5" spans="1:18" s="59" customFormat="1">
      <c r="E5" s="736"/>
      <c r="F5" s="737"/>
      <c r="G5" s="737"/>
      <c r="H5" s="737"/>
      <c r="I5" s="737"/>
      <c r="J5" s="737"/>
      <c r="K5" s="737"/>
      <c r="L5" s="738"/>
    </row>
    <row r="6" spans="1:18" s="50" customFormat="1" ht="15.75" thickBot="1">
      <c r="E6" s="739"/>
      <c r="F6" s="740"/>
      <c r="G6" s="740"/>
      <c r="H6" s="740"/>
      <c r="I6" s="740"/>
      <c r="J6" s="740"/>
      <c r="K6" s="740"/>
      <c r="L6" s="741"/>
    </row>
    <row r="7" spans="1:18" s="48" customFormat="1">
      <c r="A7" s="14"/>
      <c r="B7" s="14"/>
      <c r="C7" s="14"/>
      <c r="D7" s="14"/>
      <c r="E7" s="14"/>
      <c r="F7" s="14"/>
      <c r="G7" s="14"/>
      <c r="H7" s="14"/>
      <c r="I7" s="14"/>
      <c r="J7" s="14"/>
      <c r="K7" s="409"/>
      <c r="L7" s="409"/>
      <c r="M7" s="14"/>
      <c r="N7" s="14"/>
      <c r="O7" s="14"/>
      <c r="P7" s="14"/>
      <c r="Q7" s="14"/>
      <c r="R7" s="14"/>
    </row>
    <row r="8" spans="1:18" s="8" customFormat="1" ht="36">
      <c r="E8" s="7" t="s">
        <v>148</v>
      </c>
      <c r="F8" s="7" t="s">
        <v>98</v>
      </c>
      <c r="G8" s="243" t="s">
        <v>112</v>
      </c>
      <c r="H8" s="6" t="s">
        <v>150</v>
      </c>
      <c r="I8" s="7" t="s">
        <v>74</v>
      </c>
      <c r="J8" s="6" t="s">
        <v>102</v>
      </c>
      <c r="K8" s="6" t="s">
        <v>103</v>
      </c>
      <c r="L8" s="6" t="s">
        <v>104</v>
      </c>
    </row>
    <row r="9" spans="1:18" s="8" customFormat="1" ht="24">
      <c r="E9" s="334" t="s">
        <v>75</v>
      </c>
      <c r="F9" s="424" t="s">
        <v>565</v>
      </c>
      <c r="G9" s="334" t="s">
        <v>94</v>
      </c>
      <c r="H9" s="425" t="s">
        <v>188</v>
      </c>
      <c r="I9" s="334" t="s">
        <v>74</v>
      </c>
      <c r="J9" s="426">
        <v>1.05</v>
      </c>
      <c r="K9" s="35">
        <f>5.985*2</f>
        <v>11.97</v>
      </c>
      <c r="L9" s="35">
        <f>J9*K9</f>
        <v>12.568500000000002</v>
      </c>
      <c r="M9" s="59" t="s">
        <v>211</v>
      </c>
    </row>
    <row r="10" spans="1:18" s="8" customFormat="1" ht="24">
      <c r="E10" s="10" t="s">
        <v>76</v>
      </c>
      <c r="F10" s="10" t="s">
        <v>563</v>
      </c>
      <c r="G10" s="10" t="s">
        <v>108</v>
      </c>
      <c r="H10" s="11" t="s">
        <v>447</v>
      </c>
      <c r="I10" s="10" t="s">
        <v>87</v>
      </c>
      <c r="J10" s="427">
        <f>0.006*2</f>
        <v>1.2E-2</v>
      </c>
      <c r="K10" s="19">
        <v>128.59</v>
      </c>
      <c r="L10" s="19">
        <f>J10*K10*2</f>
        <v>3.08616</v>
      </c>
      <c r="M10" s="241" t="s">
        <v>446</v>
      </c>
      <c r="N10" s="241"/>
    </row>
    <row r="11" spans="1:18" s="8" customFormat="1">
      <c r="E11" s="10" t="s">
        <v>76</v>
      </c>
      <c r="F11" s="10" t="s">
        <v>563</v>
      </c>
      <c r="G11" s="10">
        <v>88315</v>
      </c>
      <c r="H11" s="11" t="s">
        <v>89</v>
      </c>
      <c r="I11" s="10" t="s">
        <v>77</v>
      </c>
      <c r="J11" s="427">
        <v>0.04</v>
      </c>
      <c r="K11" s="19">
        <v>17.86</v>
      </c>
      <c r="L11" s="19">
        <f t="shared" ref="L11:L12" si="0">J11*K11</f>
        <v>0.71440000000000003</v>
      </c>
      <c r="P11" s="8" t="s">
        <v>96</v>
      </c>
    </row>
    <row r="12" spans="1:18" s="8" customFormat="1">
      <c r="E12" s="10" t="s">
        <v>76</v>
      </c>
      <c r="F12" s="10" t="s">
        <v>563</v>
      </c>
      <c r="G12" s="10" t="s">
        <v>78</v>
      </c>
      <c r="H12" s="11" t="s">
        <v>79</v>
      </c>
      <c r="I12" s="10" t="s">
        <v>77</v>
      </c>
      <c r="J12" s="427">
        <v>0.04</v>
      </c>
      <c r="K12" s="19">
        <v>13.19</v>
      </c>
      <c r="L12" s="19">
        <f t="shared" si="0"/>
        <v>0.52759999999999996</v>
      </c>
      <c r="M12" s="8">
        <v>1164</v>
      </c>
    </row>
    <row r="13" spans="1:18" s="8" customFormat="1">
      <c r="F13" s="13"/>
      <c r="K13" s="8" t="s">
        <v>105</v>
      </c>
      <c r="L13" s="30">
        <f>L9+L10+L11+L12</f>
        <v>16.896660000000001</v>
      </c>
      <c r="M13" s="30">
        <f>M12*L13</f>
        <v>19667.712240000001</v>
      </c>
    </row>
    <row r="14" spans="1:18" s="8" customFormat="1">
      <c r="F14" s="13"/>
    </row>
    <row r="15" spans="1:18" s="8" customFormat="1">
      <c r="F15" s="13"/>
    </row>
    <row r="16" spans="1:18" s="8" customFormat="1" ht="24">
      <c r="E16" s="7" t="s">
        <v>111</v>
      </c>
      <c r="F16" s="7" t="s">
        <v>98</v>
      </c>
      <c r="G16" s="243" t="s">
        <v>113</v>
      </c>
      <c r="H16" s="6" t="s">
        <v>118</v>
      </c>
      <c r="I16" s="7" t="s">
        <v>74</v>
      </c>
      <c r="J16" s="6" t="s">
        <v>102</v>
      </c>
      <c r="K16" s="6" t="s">
        <v>103</v>
      </c>
      <c r="L16" s="6" t="s">
        <v>104</v>
      </c>
    </row>
    <row r="17" spans="5:13" ht="24">
      <c r="E17" s="10" t="s">
        <v>75</v>
      </c>
      <c r="F17" s="10" t="s">
        <v>563</v>
      </c>
      <c r="G17" s="10">
        <v>1333</v>
      </c>
      <c r="H17" s="11" t="s">
        <v>110</v>
      </c>
      <c r="I17" s="10" t="s">
        <v>74</v>
      </c>
      <c r="J17" s="22">
        <v>1.05</v>
      </c>
      <c r="K17" s="19">
        <v>4.95</v>
      </c>
      <c r="L17" s="19">
        <f>J17*K17</f>
        <v>5.1975000000000007</v>
      </c>
    </row>
    <row r="18" spans="5:13" ht="36">
      <c r="E18" s="10" t="s">
        <v>76</v>
      </c>
      <c r="F18" s="10" t="s">
        <v>563</v>
      </c>
      <c r="G18" s="24">
        <v>92716</v>
      </c>
      <c r="H18" s="25" t="s">
        <v>72</v>
      </c>
      <c r="I18" s="23" t="s">
        <v>114</v>
      </c>
      <c r="J18" s="429" t="s">
        <v>116</v>
      </c>
      <c r="K18" s="501">
        <v>15</v>
      </c>
      <c r="L18" s="19">
        <f t="shared" ref="L18:L20" si="1">J18*K18</f>
        <v>0.495</v>
      </c>
    </row>
    <row r="19" spans="5:13">
      <c r="E19" s="10" t="s">
        <v>76</v>
      </c>
      <c r="F19" s="10" t="s">
        <v>563</v>
      </c>
      <c r="G19" s="10">
        <v>88315</v>
      </c>
      <c r="H19" s="11" t="s">
        <v>89</v>
      </c>
      <c r="I19" s="10" t="s">
        <v>77</v>
      </c>
      <c r="J19" s="427">
        <v>0.04</v>
      </c>
      <c r="K19" s="19">
        <v>17.86</v>
      </c>
      <c r="L19" s="19">
        <f t="shared" si="1"/>
        <v>0.71440000000000003</v>
      </c>
    </row>
    <row r="20" spans="5:13">
      <c r="E20" s="10" t="s">
        <v>76</v>
      </c>
      <c r="F20" s="10" t="s">
        <v>563</v>
      </c>
      <c r="G20" s="10" t="s">
        <v>78</v>
      </c>
      <c r="H20" s="11" t="s">
        <v>79</v>
      </c>
      <c r="I20" s="10" t="s">
        <v>77</v>
      </c>
      <c r="J20" s="427">
        <v>0.04</v>
      </c>
      <c r="K20" s="19">
        <v>13.19</v>
      </c>
      <c r="L20" s="19">
        <f t="shared" si="1"/>
        <v>0.52759999999999996</v>
      </c>
      <c r="M20">
        <v>95.76</v>
      </c>
    </row>
    <row r="21" spans="5:13">
      <c r="K21" s="26" t="s">
        <v>105</v>
      </c>
      <c r="L21" s="30">
        <f>L17+L18+L19+L20</f>
        <v>6.9345000000000008</v>
      </c>
      <c r="M21" s="30">
        <f>M20*L21</f>
        <v>664.04772000000014</v>
      </c>
    </row>
    <row r="24" spans="5:13" ht="24">
      <c r="E24" s="7" t="s">
        <v>111</v>
      </c>
      <c r="F24" s="7" t="s">
        <v>98</v>
      </c>
      <c r="G24" s="243" t="s">
        <v>124</v>
      </c>
      <c r="H24" s="6" t="s">
        <v>117</v>
      </c>
      <c r="I24" s="7" t="s">
        <v>74</v>
      </c>
      <c r="J24" s="6" t="s">
        <v>102</v>
      </c>
      <c r="K24" s="6" t="s">
        <v>103</v>
      </c>
      <c r="L24" s="6" t="s">
        <v>104</v>
      </c>
    </row>
    <row r="25" spans="5:13" ht="24">
      <c r="E25" s="10" t="s">
        <v>75</v>
      </c>
      <c r="F25" s="10" t="s">
        <v>563</v>
      </c>
      <c r="G25" s="10">
        <v>1334</v>
      </c>
      <c r="H25" s="11" t="s">
        <v>119</v>
      </c>
      <c r="I25" s="10" t="s">
        <v>74</v>
      </c>
      <c r="J25" s="22">
        <v>1.05</v>
      </c>
      <c r="K25" s="19">
        <v>5.85</v>
      </c>
      <c r="L25" s="19">
        <f>J25*K25</f>
        <v>6.1425000000000001</v>
      </c>
    </row>
    <row r="26" spans="5:13" ht="36">
      <c r="E26" s="10" t="s">
        <v>76</v>
      </c>
      <c r="F26" s="10" t="s">
        <v>563</v>
      </c>
      <c r="G26" s="27">
        <v>92716</v>
      </c>
      <c r="H26" s="28" t="s">
        <v>72</v>
      </c>
      <c r="I26" s="27" t="s">
        <v>114</v>
      </c>
      <c r="J26" s="429" t="s">
        <v>116</v>
      </c>
      <c r="K26" s="501">
        <v>15</v>
      </c>
      <c r="L26" s="19">
        <f t="shared" ref="L26:L28" si="2">J26*K26</f>
        <v>0.495</v>
      </c>
    </row>
    <row r="27" spans="5:13">
      <c r="E27" s="10" t="s">
        <v>76</v>
      </c>
      <c r="F27" s="10" t="s">
        <v>563</v>
      </c>
      <c r="G27" s="10" t="s">
        <v>88</v>
      </c>
      <c r="H27" s="11" t="s">
        <v>89</v>
      </c>
      <c r="I27" s="10" t="s">
        <v>77</v>
      </c>
      <c r="J27" s="427">
        <v>0.04</v>
      </c>
      <c r="K27" s="19">
        <v>17.829999999999998</v>
      </c>
      <c r="L27" s="19">
        <f t="shared" si="2"/>
        <v>0.71319999999999995</v>
      </c>
    </row>
    <row r="28" spans="5:13">
      <c r="E28" s="10" t="s">
        <v>76</v>
      </c>
      <c r="F28" s="10" t="s">
        <v>563</v>
      </c>
      <c r="G28" s="10" t="s">
        <v>78</v>
      </c>
      <c r="H28" s="11" t="s">
        <v>79</v>
      </c>
      <c r="I28" s="10" t="s">
        <v>77</v>
      </c>
      <c r="J28" s="427">
        <v>0.04</v>
      </c>
      <c r="K28" s="19">
        <v>13.19</v>
      </c>
      <c r="L28" s="19">
        <f t="shared" si="2"/>
        <v>0.52759999999999996</v>
      </c>
      <c r="M28">
        <v>239.28</v>
      </c>
    </row>
    <row r="29" spans="5:13">
      <c r="E29" s="26"/>
      <c r="F29" s="26"/>
      <c r="G29" s="26"/>
      <c r="H29" s="26"/>
      <c r="I29" s="26"/>
      <c r="J29" s="26"/>
      <c r="K29" s="26" t="s">
        <v>105</v>
      </c>
      <c r="L29" s="30">
        <f>L25+L26+L27+L28</f>
        <v>7.8782999999999994</v>
      </c>
      <c r="M29" s="30">
        <f>M28*L29</f>
        <v>1885.1196239999999</v>
      </c>
    </row>
    <row r="31" spans="5:13" ht="36">
      <c r="E31" s="7" t="s">
        <v>187</v>
      </c>
      <c r="F31" s="7" t="s">
        <v>98</v>
      </c>
      <c r="G31" s="243" t="s">
        <v>125</v>
      </c>
      <c r="H31" s="6" t="s">
        <v>122</v>
      </c>
      <c r="I31" s="7" t="s">
        <v>74</v>
      </c>
      <c r="J31" s="6" t="s">
        <v>102</v>
      </c>
      <c r="K31" s="6" t="s">
        <v>103</v>
      </c>
      <c r="L31" s="6" t="s">
        <v>104</v>
      </c>
    </row>
    <row r="32" spans="5:13" ht="24">
      <c r="E32" s="334" t="s">
        <v>75</v>
      </c>
      <c r="F32" s="424" t="s">
        <v>564</v>
      </c>
      <c r="G32" s="425" t="s">
        <v>94</v>
      </c>
      <c r="H32" s="425" t="s">
        <v>120</v>
      </c>
      <c r="I32" s="334" t="s">
        <v>74</v>
      </c>
      <c r="J32" s="426">
        <v>1.05</v>
      </c>
      <c r="K32" s="35">
        <f>4.54*2</f>
        <v>9.08</v>
      </c>
      <c r="L32" s="35">
        <f>J32*K32</f>
        <v>9.5340000000000007</v>
      </c>
      <c r="M32" s="357" t="s">
        <v>560</v>
      </c>
    </row>
    <row r="33" spans="5:16" ht="24">
      <c r="E33" s="10" t="s">
        <v>76</v>
      </c>
      <c r="F33" s="10" t="s">
        <v>563</v>
      </c>
      <c r="G33" s="10" t="s">
        <v>108</v>
      </c>
      <c r="H33" s="11" t="s">
        <v>86</v>
      </c>
      <c r="I33" s="10" t="s">
        <v>87</v>
      </c>
      <c r="J33" s="427">
        <f>0.006*2</f>
        <v>1.2E-2</v>
      </c>
      <c r="K33" s="19">
        <v>128.59</v>
      </c>
      <c r="L33" s="19">
        <f t="shared" ref="L33:L35" si="3">J33*K33</f>
        <v>1.54308</v>
      </c>
      <c r="P33">
        <f>128.16/23.76</f>
        <v>5.3939393939393936</v>
      </c>
    </row>
    <row r="34" spans="5:16">
      <c r="E34" s="10" t="s">
        <v>76</v>
      </c>
      <c r="F34" s="10" t="s">
        <v>563</v>
      </c>
      <c r="G34" s="10" t="s">
        <v>88</v>
      </c>
      <c r="H34" s="11" t="s">
        <v>89</v>
      </c>
      <c r="I34" s="10" t="s">
        <v>77</v>
      </c>
      <c r="J34" s="427">
        <v>0.04</v>
      </c>
      <c r="K34" s="19">
        <v>17.829999999999998</v>
      </c>
      <c r="L34" s="19">
        <f t="shared" si="3"/>
        <v>0.71319999999999995</v>
      </c>
    </row>
    <row r="35" spans="5:16">
      <c r="E35" s="10" t="s">
        <v>76</v>
      </c>
      <c r="F35" s="10" t="s">
        <v>563</v>
      </c>
      <c r="G35" s="10" t="s">
        <v>78</v>
      </c>
      <c r="H35" s="11" t="s">
        <v>79</v>
      </c>
      <c r="I35" s="10" t="s">
        <v>77</v>
      </c>
      <c r="J35" s="427">
        <v>0.04</v>
      </c>
      <c r="K35" s="19">
        <v>13.19</v>
      </c>
      <c r="L35" s="19">
        <f t="shared" si="3"/>
        <v>0.52759999999999996</v>
      </c>
      <c r="M35">
        <v>387.6</v>
      </c>
    </row>
    <row r="36" spans="5:16">
      <c r="K36" s="26" t="s">
        <v>105</v>
      </c>
      <c r="L36" s="30">
        <f>SUM(L32:L35)</f>
        <v>12.317880000000001</v>
      </c>
      <c r="M36" s="30">
        <f>M35*L36</f>
        <v>4774.4102880000009</v>
      </c>
    </row>
    <row r="38" spans="5:16" ht="24">
      <c r="E38" s="7" t="s">
        <v>123</v>
      </c>
      <c r="F38" s="7" t="s">
        <v>98</v>
      </c>
      <c r="G38" s="243" t="s">
        <v>126</v>
      </c>
      <c r="H38" s="6" t="s">
        <v>121</v>
      </c>
      <c r="I38" s="7" t="s">
        <v>74</v>
      </c>
      <c r="J38" s="6" t="s">
        <v>102</v>
      </c>
      <c r="K38" s="6" t="s">
        <v>103</v>
      </c>
      <c r="L38" s="6" t="s">
        <v>104</v>
      </c>
    </row>
    <row r="39" spans="5:16" ht="24">
      <c r="E39" s="10" t="s">
        <v>75</v>
      </c>
      <c r="F39" s="10" t="s">
        <v>563</v>
      </c>
      <c r="G39" s="10">
        <v>1333</v>
      </c>
      <c r="H39" s="11" t="s">
        <v>110</v>
      </c>
      <c r="I39" s="10" t="s">
        <v>74</v>
      </c>
      <c r="J39" s="22">
        <v>1.05</v>
      </c>
      <c r="K39" s="35">
        <v>4.95</v>
      </c>
      <c r="L39" s="19">
        <f>J39*K39</f>
        <v>5.1975000000000007</v>
      </c>
    </row>
    <row r="40" spans="5:16" ht="36">
      <c r="E40" s="10" t="s">
        <v>76</v>
      </c>
      <c r="F40" s="10" t="s">
        <v>563</v>
      </c>
      <c r="G40" s="27" t="s">
        <v>115</v>
      </c>
      <c r="H40" s="28" t="s">
        <v>72</v>
      </c>
      <c r="I40" s="27" t="s">
        <v>114</v>
      </c>
      <c r="J40" s="29" t="s">
        <v>116</v>
      </c>
      <c r="K40" s="501">
        <v>15</v>
      </c>
      <c r="L40" s="19">
        <f t="shared" ref="L40:L42" si="4">J40*K40</f>
        <v>0.495</v>
      </c>
    </row>
    <row r="41" spans="5:16">
      <c r="E41" s="10" t="s">
        <v>76</v>
      </c>
      <c r="F41" s="10" t="s">
        <v>563</v>
      </c>
      <c r="G41" s="10" t="s">
        <v>88</v>
      </c>
      <c r="H41" s="11" t="s">
        <v>89</v>
      </c>
      <c r="I41" s="10" t="s">
        <v>77</v>
      </c>
      <c r="J41" s="427">
        <v>0.04</v>
      </c>
      <c r="K41" s="19">
        <v>17.829999999999998</v>
      </c>
      <c r="L41" s="19">
        <f t="shared" si="4"/>
        <v>0.71319999999999995</v>
      </c>
    </row>
    <row r="42" spans="5:16">
      <c r="E42" s="10" t="s">
        <v>76</v>
      </c>
      <c r="F42" s="10" t="s">
        <v>563</v>
      </c>
      <c r="G42" s="10" t="s">
        <v>78</v>
      </c>
      <c r="H42" s="11" t="s">
        <v>79</v>
      </c>
      <c r="I42" s="10" t="s">
        <v>77</v>
      </c>
      <c r="J42" s="427">
        <v>0.04</v>
      </c>
      <c r="K42" s="19">
        <v>13.16</v>
      </c>
      <c r="L42" s="19">
        <f t="shared" si="4"/>
        <v>0.52639999999999998</v>
      </c>
      <c r="M42">
        <v>54</v>
      </c>
    </row>
    <row r="43" spans="5:16">
      <c r="E43" s="26"/>
      <c r="F43" s="26"/>
      <c r="G43" s="26"/>
      <c r="H43" s="26"/>
      <c r="I43" s="26"/>
      <c r="J43" s="26"/>
      <c r="K43" s="26" t="s">
        <v>105</v>
      </c>
      <c r="L43" s="30">
        <f>L39+L40+L41+L42</f>
        <v>6.9321000000000002</v>
      </c>
      <c r="M43" s="30">
        <f>M42*L43</f>
        <v>374.33339999999998</v>
      </c>
    </row>
    <row r="44" spans="5:16" s="357" customFormat="1">
      <c r="L44" s="30"/>
      <c r="M44" s="30"/>
    </row>
    <row r="46" spans="5:16" ht="48">
      <c r="E46" s="7" t="s">
        <v>137</v>
      </c>
      <c r="F46" s="7" t="s">
        <v>98</v>
      </c>
      <c r="G46" s="7">
        <v>83736</v>
      </c>
      <c r="H46" s="6" t="s">
        <v>136</v>
      </c>
      <c r="I46" s="7" t="s">
        <v>138</v>
      </c>
      <c r="J46" s="6" t="s">
        <v>102</v>
      </c>
      <c r="K46" s="6" t="s">
        <v>103</v>
      </c>
      <c r="L46" s="6" t="s">
        <v>104</v>
      </c>
    </row>
    <row r="47" spans="5:16" ht="24">
      <c r="E47" s="32" t="s">
        <v>75</v>
      </c>
      <c r="F47" s="10" t="s">
        <v>563</v>
      </c>
      <c r="G47" s="36">
        <v>156</v>
      </c>
      <c r="H47" s="33" t="s">
        <v>130</v>
      </c>
      <c r="I47" s="34" t="s">
        <v>74</v>
      </c>
      <c r="J47" s="37" t="s">
        <v>131</v>
      </c>
      <c r="K47" s="35">
        <v>41.59</v>
      </c>
      <c r="L47" s="19">
        <f>J47*K47</f>
        <v>133.08800000000002</v>
      </c>
    </row>
    <row r="48" spans="5:16">
      <c r="E48" s="32" t="s">
        <v>76</v>
      </c>
      <c r="F48" s="10" t="s">
        <v>563</v>
      </c>
      <c r="G48" s="36">
        <v>88243</v>
      </c>
      <c r="H48" s="33" t="s">
        <v>132</v>
      </c>
      <c r="I48" s="34" t="s">
        <v>77</v>
      </c>
      <c r="J48" s="37" t="s">
        <v>133</v>
      </c>
      <c r="K48" s="19">
        <v>21.86</v>
      </c>
      <c r="L48" s="19">
        <f t="shared" ref="L48:L49" si="5">J48*K48</f>
        <v>21.86</v>
      </c>
    </row>
    <row r="49" spans="5:14">
      <c r="E49" s="32" t="s">
        <v>76</v>
      </c>
      <c r="F49" s="10" t="s">
        <v>563</v>
      </c>
      <c r="G49" s="36">
        <v>88270</v>
      </c>
      <c r="H49" s="33" t="s">
        <v>134</v>
      </c>
      <c r="I49" s="34" t="s">
        <v>77</v>
      </c>
      <c r="J49" s="37" t="s">
        <v>133</v>
      </c>
      <c r="K49" s="19">
        <v>17.96</v>
      </c>
      <c r="L49" s="19">
        <f t="shared" si="5"/>
        <v>17.96</v>
      </c>
      <c r="M49">
        <v>2.88</v>
      </c>
    </row>
    <row r="50" spans="5:14">
      <c r="E50" s="31"/>
      <c r="F50" s="31"/>
      <c r="G50" s="31"/>
      <c r="H50" s="31"/>
      <c r="I50" s="31"/>
      <c r="J50" s="31"/>
      <c r="K50" s="31" t="s">
        <v>105</v>
      </c>
      <c r="L50" s="30">
        <f>L49+L48+L47</f>
        <v>172.90800000000002</v>
      </c>
      <c r="M50" s="30">
        <f>M49*L50</f>
        <v>497.97504000000004</v>
      </c>
    </row>
    <row r="51" spans="5:14" s="357" customFormat="1">
      <c r="L51" s="30"/>
      <c r="M51" s="30"/>
    </row>
    <row r="52" spans="5:14" s="357" customFormat="1">
      <c r="L52" s="30"/>
      <c r="M52" s="30"/>
    </row>
    <row r="53" spans="5:14" s="241" customFormat="1" ht="24">
      <c r="E53" s="7" t="s">
        <v>183</v>
      </c>
      <c r="F53" s="7" t="s">
        <v>98</v>
      </c>
      <c r="G53" s="244" t="s">
        <v>185</v>
      </c>
      <c r="H53" s="54" t="s">
        <v>184</v>
      </c>
      <c r="I53" s="7" t="s">
        <v>68</v>
      </c>
      <c r="J53" s="6" t="s">
        <v>102</v>
      </c>
      <c r="K53" s="6" t="s">
        <v>103</v>
      </c>
      <c r="L53" s="6" t="s">
        <v>104</v>
      </c>
      <c r="M53" s="30"/>
    </row>
    <row r="54" spans="5:14" s="241" customFormat="1" ht="24">
      <c r="E54" s="57" t="s">
        <v>75</v>
      </c>
      <c r="F54" s="10" t="s">
        <v>563</v>
      </c>
      <c r="G54" s="58">
        <v>7247</v>
      </c>
      <c r="H54" s="56" t="s">
        <v>612</v>
      </c>
      <c r="I54" s="60" t="s">
        <v>77</v>
      </c>
      <c r="J54" s="61" t="s">
        <v>179</v>
      </c>
      <c r="K54" s="19">
        <v>2.27</v>
      </c>
      <c r="L54" s="19">
        <f>K54*J54</f>
        <v>0.22700000000000001</v>
      </c>
      <c r="M54" s="30"/>
    </row>
    <row r="55" spans="5:14" s="241" customFormat="1" ht="24">
      <c r="E55" s="57" t="s">
        <v>75</v>
      </c>
      <c r="F55" s="10" t="s">
        <v>563</v>
      </c>
      <c r="G55" s="58">
        <v>7252</v>
      </c>
      <c r="H55" s="56" t="s">
        <v>160</v>
      </c>
      <c r="I55" s="60" t="s">
        <v>77</v>
      </c>
      <c r="J55" s="61" t="s">
        <v>179</v>
      </c>
      <c r="K55" s="19">
        <v>2.27</v>
      </c>
      <c r="L55" s="19">
        <f t="shared" ref="L55:L57" si="6">K55*J55</f>
        <v>0.22700000000000001</v>
      </c>
      <c r="M55" s="30"/>
    </row>
    <row r="56" spans="5:14" s="241" customFormat="1">
      <c r="E56" s="57" t="s">
        <v>76</v>
      </c>
      <c r="F56" s="10" t="s">
        <v>563</v>
      </c>
      <c r="G56" s="58">
        <v>88253</v>
      </c>
      <c r="H56" s="56" t="s">
        <v>156</v>
      </c>
      <c r="I56" s="60" t="s">
        <v>77</v>
      </c>
      <c r="J56" s="61" t="s">
        <v>180</v>
      </c>
      <c r="K56" s="19">
        <v>9.8800000000000008</v>
      </c>
      <c r="L56" s="19">
        <f t="shared" si="6"/>
        <v>5.9279999999999999</v>
      </c>
      <c r="M56" s="30"/>
    </row>
    <row r="57" spans="5:14" s="241" customFormat="1">
      <c r="E57" s="57" t="s">
        <v>76</v>
      </c>
      <c r="F57" s="10" t="s">
        <v>563</v>
      </c>
      <c r="G57" s="58">
        <v>90781</v>
      </c>
      <c r="H57" s="56" t="s">
        <v>161</v>
      </c>
      <c r="I57" s="60" t="s">
        <v>77</v>
      </c>
      <c r="J57" s="61" t="s">
        <v>180</v>
      </c>
      <c r="K57" s="19">
        <v>16.64</v>
      </c>
      <c r="L57" s="19">
        <f t="shared" si="6"/>
        <v>9.984</v>
      </c>
      <c r="M57" s="30"/>
    </row>
    <row r="58" spans="5:14" s="241" customFormat="1">
      <c r="E58" s="51"/>
      <c r="F58" s="51"/>
      <c r="G58" s="51"/>
      <c r="H58" s="52"/>
      <c r="I58" s="9"/>
      <c r="J58" s="49"/>
      <c r="K58" s="19" t="s">
        <v>105</v>
      </c>
      <c r="L58" s="55">
        <f>SUM(L54:L57)</f>
        <v>16.366</v>
      </c>
      <c r="M58" s="30"/>
    </row>
    <row r="59" spans="5:14" s="241" customFormat="1">
      <c r="L59" s="30"/>
      <c r="M59" s="30"/>
    </row>
    <row r="60" spans="5:14">
      <c r="N60" s="14"/>
    </row>
    <row r="61" spans="5:14" ht="24">
      <c r="E61" s="7" t="s">
        <v>140</v>
      </c>
      <c r="F61" s="7" t="s">
        <v>98</v>
      </c>
      <c r="G61" s="243" t="s">
        <v>135</v>
      </c>
      <c r="H61" s="6" t="s">
        <v>146</v>
      </c>
      <c r="I61" s="7" t="s">
        <v>74</v>
      </c>
      <c r="J61" s="6" t="s">
        <v>102</v>
      </c>
      <c r="K61" s="6" t="s">
        <v>103</v>
      </c>
      <c r="L61" s="6" t="s">
        <v>104</v>
      </c>
      <c r="N61" s="422"/>
    </row>
    <row r="62" spans="5:14">
      <c r="E62" s="43" t="s">
        <v>75</v>
      </c>
      <c r="F62" s="10" t="s">
        <v>563</v>
      </c>
      <c r="G62" s="43">
        <v>134</v>
      </c>
      <c r="H62" s="44" t="s">
        <v>141</v>
      </c>
      <c r="I62" s="43" t="s">
        <v>74</v>
      </c>
      <c r="J62" s="423" t="s">
        <v>147</v>
      </c>
      <c r="K62" s="35">
        <v>1.48</v>
      </c>
      <c r="L62" s="19">
        <f>K62*J62</f>
        <v>2.1667199999999998</v>
      </c>
      <c r="N62" s="423"/>
    </row>
    <row r="63" spans="5:14">
      <c r="E63" s="42" t="s">
        <v>76</v>
      </c>
      <c r="F63" s="10" t="s">
        <v>563</v>
      </c>
      <c r="G63" s="38">
        <v>88309</v>
      </c>
      <c r="H63" s="39" t="s">
        <v>143</v>
      </c>
      <c r="I63" s="38" t="s">
        <v>77</v>
      </c>
      <c r="J63" s="40" t="s">
        <v>144</v>
      </c>
      <c r="K63" s="19">
        <v>17.96</v>
      </c>
      <c r="L63" s="19">
        <f t="shared" ref="L63:L64" si="7">K63*J63</f>
        <v>5.3879999999999999</v>
      </c>
    </row>
    <row r="64" spans="5:14">
      <c r="E64" s="42" t="s">
        <v>76</v>
      </c>
      <c r="F64" s="10" t="s">
        <v>563</v>
      </c>
      <c r="G64" s="38">
        <v>88316</v>
      </c>
      <c r="H64" s="39" t="s">
        <v>79</v>
      </c>
      <c r="I64" s="38" t="s">
        <v>77</v>
      </c>
      <c r="J64" s="40" t="s">
        <v>145</v>
      </c>
      <c r="K64" s="19">
        <v>13.19</v>
      </c>
      <c r="L64" s="19">
        <f t="shared" si="7"/>
        <v>2.6379999999999999</v>
      </c>
      <c r="M64">
        <v>120</v>
      </c>
    </row>
    <row r="65" spans="5:15">
      <c r="K65" s="41" t="s">
        <v>105</v>
      </c>
      <c r="L65" s="30">
        <f>SUM(L62:L64)</f>
        <v>10.19272</v>
      </c>
      <c r="M65" s="30">
        <f>M64*L65</f>
        <v>1223.1263999999999</v>
      </c>
    </row>
    <row r="66" spans="5:15" s="241" customFormat="1">
      <c r="L66" s="30"/>
      <c r="M66" s="30"/>
    </row>
    <row r="67" spans="5:15" s="241" customFormat="1">
      <c r="L67" s="30"/>
      <c r="M67" s="30"/>
    </row>
    <row r="68" spans="5:15" s="241" customFormat="1" ht="24">
      <c r="E68" s="7" t="s">
        <v>465</v>
      </c>
      <c r="F68" s="7" t="s">
        <v>98</v>
      </c>
      <c r="G68" s="243" t="s">
        <v>463</v>
      </c>
      <c r="H68" s="6" t="s">
        <v>522</v>
      </c>
      <c r="I68" s="7" t="s">
        <v>25</v>
      </c>
      <c r="J68" s="6" t="s">
        <v>102</v>
      </c>
      <c r="K68" s="6" t="s">
        <v>103</v>
      </c>
      <c r="L68" s="6" t="s">
        <v>104</v>
      </c>
      <c r="M68" s="335"/>
    </row>
    <row r="69" spans="5:15" s="241" customFormat="1" ht="24">
      <c r="E69" s="60" t="s">
        <v>566</v>
      </c>
      <c r="F69" s="10" t="s">
        <v>563</v>
      </c>
      <c r="G69" s="60">
        <v>88278</v>
      </c>
      <c r="H69" s="336" t="s">
        <v>514</v>
      </c>
      <c r="I69" s="60" t="s">
        <v>77</v>
      </c>
      <c r="J69" s="336">
        <v>0.54490000000000005</v>
      </c>
      <c r="K69" s="35">
        <v>14.29</v>
      </c>
      <c r="L69" s="337">
        <f>J69*K69</f>
        <v>7.7866210000000002</v>
      </c>
      <c r="M69" s="335"/>
      <c r="N69" s="732" t="s">
        <v>562</v>
      </c>
      <c r="O69" s="732"/>
    </row>
    <row r="70" spans="5:15" s="241" customFormat="1">
      <c r="E70" s="60" t="s">
        <v>566</v>
      </c>
      <c r="F70" s="10" t="s">
        <v>563</v>
      </c>
      <c r="G70" s="60">
        <v>88316</v>
      </c>
      <c r="H70" s="336" t="s">
        <v>79</v>
      </c>
      <c r="I70" s="60" t="s">
        <v>77</v>
      </c>
      <c r="J70" s="336" t="s">
        <v>515</v>
      </c>
      <c r="K70" s="35">
        <v>13.19</v>
      </c>
      <c r="L70" s="337">
        <f t="shared" ref="L70:L71" si="8">J70*K70</f>
        <v>1.7964779999999998</v>
      </c>
      <c r="M70" s="335"/>
      <c r="N70" s="264">
        <f>100.65/(1.2*2.4)</f>
        <v>34.947916666666671</v>
      </c>
      <c r="O70" s="241" t="s">
        <v>25</v>
      </c>
    </row>
    <row r="71" spans="5:15" s="241" customFormat="1" ht="24">
      <c r="E71" s="60" t="s">
        <v>75</v>
      </c>
      <c r="F71" s="10" t="s">
        <v>565</v>
      </c>
      <c r="G71" s="338" t="s">
        <v>464</v>
      </c>
      <c r="H71" s="336" t="s">
        <v>522</v>
      </c>
      <c r="I71" s="338" t="s">
        <v>25</v>
      </c>
      <c r="J71" s="336">
        <v>1.05</v>
      </c>
      <c r="K71" s="421">
        <f>100.65/(1.2*2.4)</f>
        <v>34.947916666666671</v>
      </c>
      <c r="L71" s="337">
        <f t="shared" si="8"/>
        <v>36.695312500000007</v>
      </c>
      <c r="M71" s="335"/>
    </row>
    <row r="72" spans="5:15" s="241" customFormat="1">
      <c r="E72" s="19"/>
      <c r="F72" s="10"/>
      <c r="G72" s="35"/>
      <c r="H72" s="35"/>
      <c r="I72" s="35"/>
      <c r="J72" s="35"/>
      <c r="K72" s="35"/>
      <c r="L72" s="337"/>
      <c r="M72" s="14">
        <f>1.2*2.4*117</f>
        <v>336.96</v>
      </c>
    </row>
    <row r="73" spans="5:15" s="241" customFormat="1">
      <c r="F73" s="14"/>
      <c r="G73" s="14"/>
      <c r="H73" s="14"/>
      <c r="I73" s="14"/>
      <c r="J73" s="14"/>
      <c r="K73" s="14" t="s">
        <v>105</v>
      </c>
      <c r="L73" s="335">
        <f>L71+L70+L69</f>
        <v>46.278411500000004</v>
      </c>
      <c r="M73" s="335">
        <f>M72*L73</f>
        <v>15593.97353904</v>
      </c>
    </row>
    <row r="76" spans="5:15" ht="24">
      <c r="E76" s="7" t="s">
        <v>203</v>
      </c>
      <c r="F76" s="7" t="s">
        <v>98</v>
      </c>
      <c r="G76" s="243" t="s">
        <v>207</v>
      </c>
      <c r="H76" s="6" t="s">
        <v>204</v>
      </c>
      <c r="I76" s="7" t="s">
        <v>74</v>
      </c>
      <c r="J76" s="6" t="s">
        <v>102</v>
      </c>
      <c r="K76" s="6" t="s">
        <v>103</v>
      </c>
      <c r="L76" s="6" t="s">
        <v>104</v>
      </c>
    </row>
    <row r="77" spans="5:15" ht="24">
      <c r="E77" s="334" t="s">
        <v>75</v>
      </c>
      <c r="F77" s="424" t="s">
        <v>564</v>
      </c>
      <c r="G77" s="425" t="s">
        <v>94</v>
      </c>
      <c r="H77" s="425" t="s">
        <v>202</v>
      </c>
      <c r="I77" s="334" t="s">
        <v>74</v>
      </c>
      <c r="J77" s="426">
        <v>1.05</v>
      </c>
      <c r="K77" s="421">
        <f>5077.47/1117.8</f>
        <v>4.5423778851315086</v>
      </c>
      <c r="L77" s="421">
        <f>J77*K77</f>
        <v>4.769496779388084</v>
      </c>
      <c r="N77" s="59" t="s">
        <v>219</v>
      </c>
    </row>
    <row r="78" spans="5:15">
      <c r="E78" s="10" t="s">
        <v>76</v>
      </c>
      <c r="F78" s="10" t="s">
        <v>563</v>
      </c>
      <c r="G78" s="10">
        <v>88315</v>
      </c>
      <c r="H78" s="11" t="s">
        <v>89</v>
      </c>
      <c r="I78" s="10" t="s">
        <v>77</v>
      </c>
      <c r="J78" s="427">
        <v>0.04</v>
      </c>
      <c r="K78" s="19">
        <v>17.86</v>
      </c>
      <c r="L78" s="19">
        <f t="shared" ref="L78:L79" si="9">J78*K78</f>
        <v>0.71440000000000003</v>
      </c>
    </row>
    <row r="79" spans="5:15">
      <c r="E79" s="10" t="s">
        <v>76</v>
      </c>
      <c r="F79" s="10" t="s">
        <v>563</v>
      </c>
      <c r="G79" s="10">
        <v>88316</v>
      </c>
      <c r="H79" s="11" t="s">
        <v>79</v>
      </c>
      <c r="I79" s="10" t="s">
        <v>77</v>
      </c>
      <c r="J79" s="427">
        <v>0.04</v>
      </c>
      <c r="K79" s="19">
        <v>13.19</v>
      </c>
      <c r="L79" s="19">
        <f t="shared" si="9"/>
        <v>0.52759999999999996</v>
      </c>
      <c r="M79">
        <v>1150</v>
      </c>
    </row>
    <row r="80" spans="5:15">
      <c r="E80" s="45"/>
      <c r="F80" s="45"/>
      <c r="G80" s="45"/>
      <c r="H80" s="45"/>
      <c r="I80" s="45"/>
      <c r="J80" s="45"/>
      <c r="K80" s="45" t="s">
        <v>105</v>
      </c>
      <c r="L80" s="30">
        <f>L77+L78+L79</f>
        <v>6.011496779388084</v>
      </c>
      <c r="M80" s="30">
        <f>M79*L80</f>
        <v>6913.2212962962967</v>
      </c>
    </row>
    <row r="82" spans="5:13" ht="24">
      <c r="E82" s="7" t="s">
        <v>203</v>
      </c>
      <c r="F82" s="7" t="s">
        <v>98</v>
      </c>
      <c r="G82" s="243" t="s">
        <v>208</v>
      </c>
      <c r="H82" s="6" t="s">
        <v>217</v>
      </c>
      <c r="I82" s="7" t="s">
        <v>74</v>
      </c>
      <c r="J82" s="6" t="s">
        <v>102</v>
      </c>
      <c r="K82" s="6" t="s">
        <v>103</v>
      </c>
      <c r="L82" s="6" t="s">
        <v>104</v>
      </c>
    </row>
    <row r="83" spans="5:13" ht="24">
      <c r="E83" s="334" t="s">
        <v>75</v>
      </c>
      <c r="F83" s="424" t="s">
        <v>565</v>
      </c>
      <c r="G83" s="425" t="s">
        <v>94</v>
      </c>
      <c r="H83" s="425" t="s">
        <v>205</v>
      </c>
      <c r="I83" s="334" t="s">
        <v>74</v>
      </c>
      <c r="J83" s="426">
        <v>1.05</v>
      </c>
      <c r="K83" s="35">
        <v>5.1462000000000003</v>
      </c>
      <c r="L83" s="35">
        <f>J83*K83</f>
        <v>5.4035100000000007</v>
      </c>
      <c r="M83" s="357" t="s">
        <v>561</v>
      </c>
    </row>
    <row r="84" spans="5:13">
      <c r="E84" s="10" t="s">
        <v>76</v>
      </c>
      <c r="F84" s="10" t="s">
        <v>563</v>
      </c>
      <c r="G84" s="10" t="s">
        <v>88</v>
      </c>
      <c r="H84" s="11" t="s">
        <v>89</v>
      </c>
      <c r="I84" s="10" t="s">
        <v>77</v>
      </c>
      <c r="J84" s="427">
        <v>0.04</v>
      </c>
      <c r="K84" s="19">
        <v>17.86</v>
      </c>
      <c r="L84" s="19">
        <f t="shared" ref="L84:L85" si="10">J84*K84</f>
        <v>0.71440000000000003</v>
      </c>
    </row>
    <row r="85" spans="5:13">
      <c r="E85" s="10" t="s">
        <v>76</v>
      </c>
      <c r="F85" s="10" t="s">
        <v>563</v>
      </c>
      <c r="G85" s="10" t="s">
        <v>78</v>
      </c>
      <c r="H85" s="11" t="s">
        <v>79</v>
      </c>
      <c r="I85" s="10" t="s">
        <v>77</v>
      </c>
      <c r="J85" s="427">
        <v>0.04</v>
      </c>
      <c r="K85" s="19">
        <v>13.19</v>
      </c>
      <c r="L85" s="19">
        <f t="shared" si="10"/>
        <v>0.52759999999999996</v>
      </c>
      <c r="M85">
        <v>1206</v>
      </c>
    </row>
    <row r="86" spans="5:13">
      <c r="L86" s="30">
        <f>SUM(L83:L85)</f>
        <v>6.6455100000000007</v>
      </c>
      <c r="M86" s="30">
        <f>M85*L86</f>
        <v>8014.4850600000009</v>
      </c>
    </row>
    <row r="89" spans="5:13" ht="24">
      <c r="E89" s="7" t="s">
        <v>203</v>
      </c>
      <c r="F89" s="7" t="s">
        <v>98</v>
      </c>
      <c r="G89" s="243" t="s">
        <v>220</v>
      </c>
      <c r="H89" s="6" t="s">
        <v>216</v>
      </c>
      <c r="I89" s="7" t="s">
        <v>74</v>
      </c>
      <c r="J89" s="6" t="s">
        <v>102</v>
      </c>
      <c r="K89" s="6" t="s">
        <v>103</v>
      </c>
      <c r="L89" s="6" t="s">
        <v>104</v>
      </c>
    </row>
    <row r="90" spans="5:13" ht="24">
      <c r="E90" s="334" t="s">
        <v>75</v>
      </c>
      <c r="F90" s="424" t="s">
        <v>564</v>
      </c>
      <c r="G90" s="425" t="s">
        <v>94</v>
      </c>
      <c r="H90" s="425" t="s">
        <v>214</v>
      </c>
      <c r="I90" s="334" t="s">
        <v>74</v>
      </c>
      <c r="J90" s="428">
        <v>1.05</v>
      </c>
      <c r="K90" s="35">
        <v>5.19</v>
      </c>
      <c r="L90" s="35">
        <f>J90*K90</f>
        <v>5.4495000000000005</v>
      </c>
      <c r="M90" s="59" t="s">
        <v>218</v>
      </c>
    </row>
    <row r="91" spans="5:13">
      <c r="E91" s="10" t="s">
        <v>76</v>
      </c>
      <c r="F91" s="10" t="s">
        <v>563</v>
      </c>
      <c r="G91" s="10" t="s">
        <v>88</v>
      </c>
      <c r="H91" s="11" t="s">
        <v>89</v>
      </c>
      <c r="I91" s="10" t="s">
        <v>77</v>
      </c>
      <c r="J91" s="427">
        <v>0.04</v>
      </c>
      <c r="K91" s="19">
        <v>17.86</v>
      </c>
      <c r="L91" s="19">
        <f t="shared" ref="L91:L92" si="11">J91*K91</f>
        <v>0.71440000000000003</v>
      </c>
    </row>
    <row r="92" spans="5:13">
      <c r="E92" s="10" t="s">
        <v>76</v>
      </c>
      <c r="F92" s="10" t="s">
        <v>563</v>
      </c>
      <c r="G92" s="10" t="s">
        <v>78</v>
      </c>
      <c r="H92" s="11" t="s">
        <v>79</v>
      </c>
      <c r="I92" s="10" t="s">
        <v>77</v>
      </c>
      <c r="J92" s="427">
        <v>0.04</v>
      </c>
      <c r="K92" s="19">
        <v>13.19</v>
      </c>
      <c r="L92" s="19">
        <f t="shared" si="11"/>
        <v>0.52759999999999996</v>
      </c>
      <c r="M92">
        <v>173.4</v>
      </c>
    </row>
    <row r="93" spans="5:13">
      <c r="E93" s="59"/>
      <c r="F93" s="59"/>
      <c r="G93" s="59"/>
      <c r="H93" s="59"/>
      <c r="I93" s="59"/>
      <c r="J93" s="59"/>
      <c r="K93" s="59"/>
      <c r="L93" s="30">
        <f>SUM(L90:L92)</f>
        <v>6.6915000000000004</v>
      </c>
      <c r="M93" s="30">
        <f>L93*M92</f>
        <v>1160.3061</v>
      </c>
    </row>
    <row r="96" spans="5:13" ht="24">
      <c r="E96" s="7" t="s">
        <v>203</v>
      </c>
      <c r="F96" s="7" t="s">
        <v>98</v>
      </c>
      <c r="G96" s="7" t="s">
        <v>223</v>
      </c>
      <c r="H96" s="6" t="s">
        <v>216</v>
      </c>
      <c r="I96" s="7" t="s">
        <v>74</v>
      </c>
      <c r="J96" s="6" t="s">
        <v>102</v>
      </c>
      <c r="K96" s="6" t="s">
        <v>103</v>
      </c>
      <c r="L96" s="6" t="s">
        <v>104</v>
      </c>
    </row>
    <row r="97" spans="5:13" ht="24">
      <c r="E97" s="10" t="s">
        <v>75</v>
      </c>
      <c r="F97" s="10" t="s">
        <v>563</v>
      </c>
      <c r="G97" s="10">
        <v>1319</v>
      </c>
      <c r="H97" s="11" t="s">
        <v>222</v>
      </c>
      <c r="I97" s="10" t="s">
        <v>74</v>
      </c>
      <c r="J97" s="22">
        <v>1.05</v>
      </c>
      <c r="K97" s="35">
        <v>4.93</v>
      </c>
      <c r="L97" s="19">
        <f>J97*K97</f>
        <v>5.1764999999999999</v>
      </c>
    </row>
    <row r="98" spans="5:13">
      <c r="E98" s="10" t="s">
        <v>76</v>
      </c>
      <c r="F98" s="10" t="s">
        <v>563</v>
      </c>
      <c r="G98" s="10" t="s">
        <v>88</v>
      </c>
      <c r="H98" s="11" t="s">
        <v>89</v>
      </c>
      <c r="I98" s="10" t="s">
        <v>77</v>
      </c>
      <c r="J98" s="427">
        <v>0.04</v>
      </c>
      <c r="K98" s="19">
        <v>17.86</v>
      </c>
      <c r="L98" s="19">
        <f t="shared" ref="L98:L99" si="12">J98*K98</f>
        <v>0.71440000000000003</v>
      </c>
    </row>
    <row r="99" spans="5:13">
      <c r="E99" s="10" t="s">
        <v>76</v>
      </c>
      <c r="F99" s="10" t="s">
        <v>563</v>
      </c>
      <c r="G99" s="10" t="s">
        <v>78</v>
      </c>
      <c r="H99" s="11" t="s">
        <v>79</v>
      </c>
      <c r="I99" s="10" t="s">
        <v>77</v>
      </c>
      <c r="J99" s="427">
        <v>0.04</v>
      </c>
      <c r="K99" s="19">
        <v>13.19</v>
      </c>
      <c r="L99" s="19">
        <f t="shared" si="12"/>
        <v>0.52759999999999996</v>
      </c>
      <c r="M99">
        <f>38*2</f>
        <v>76</v>
      </c>
    </row>
    <row r="100" spans="5:13">
      <c r="L100">
        <f>SUM(L97:L99)</f>
        <v>6.4184999999999999</v>
      </c>
      <c r="M100" s="30">
        <f>M99*L100</f>
        <v>487.80599999999998</v>
      </c>
    </row>
    <row r="101" spans="5:13" s="59" customFormat="1">
      <c r="M101" s="30"/>
    </row>
  </sheetData>
  <mergeCells count="2">
    <mergeCell ref="N69:O69"/>
    <mergeCell ref="E2:L6"/>
  </mergeCells>
  <pageMargins left="0.511811024" right="0.511811024" top="0.78740157499999996" bottom="0.78740157499999996" header="0.31496062000000002" footer="0.31496062000000002"/>
  <pageSetup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27"/>
  <sheetViews>
    <sheetView workbookViewId="0">
      <selection activeCell="M25" sqref="M25:M27"/>
    </sheetView>
  </sheetViews>
  <sheetFormatPr defaultRowHeight="15"/>
  <cols>
    <col min="11" max="11" width="37.85546875" customWidth="1"/>
    <col min="15" max="15" width="11.140625" bestFit="1" customWidth="1"/>
    <col min="17" max="17" width="21.28515625" customWidth="1"/>
    <col min="19" max="19" width="26" customWidth="1"/>
  </cols>
  <sheetData>
    <row r="1" spans="2:15">
      <c r="B1" s="732" t="s">
        <v>432</v>
      </c>
      <c r="C1" s="732"/>
      <c r="D1" s="732" t="s">
        <v>427</v>
      </c>
      <c r="E1" s="732"/>
      <c r="F1" s="732"/>
      <c r="G1" s="732"/>
      <c r="H1" s="732"/>
    </row>
    <row r="2" spans="2:15">
      <c r="B2" s="732" t="s">
        <v>425</v>
      </c>
      <c r="C2" s="732"/>
      <c r="D2" s="742" t="s">
        <v>426</v>
      </c>
      <c r="E2" s="742"/>
      <c r="F2" s="742"/>
      <c r="G2" s="742"/>
      <c r="H2" s="742"/>
    </row>
    <row r="3" spans="2:15">
      <c r="B3" s="732" t="s">
        <v>428</v>
      </c>
      <c r="C3" s="732"/>
    </row>
    <row r="4" spans="2:15">
      <c r="B4" s="732" t="s">
        <v>429</v>
      </c>
      <c r="C4" s="732"/>
    </row>
    <row r="5" spans="2:15">
      <c r="B5" s="732" t="s">
        <v>430</v>
      </c>
      <c r="C5" s="732"/>
    </row>
    <row r="6" spans="2:15">
      <c r="B6" s="732" t="s">
        <v>431</v>
      </c>
      <c r="C6" s="732"/>
    </row>
    <row r="11" spans="2:15" ht="15.75" thickBot="1"/>
    <row r="12" spans="2:15" ht="23.25" thickBot="1">
      <c r="J12" s="245" t="s">
        <v>451</v>
      </c>
      <c r="K12" s="246" t="s">
        <v>452</v>
      </c>
      <c r="L12" s="246" t="s">
        <v>453</v>
      </c>
      <c r="M12" s="247" t="s">
        <v>454</v>
      </c>
      <c r="N12" s="248" t="s">
        <v>455</v>
      </c>
      <c r="O12" s="249" t="s">
        <v>456</v>
      </c>
    </row>
    <row r="13" spans="2:15" ht="22.5">
      <c r="J13" s="250" t="s">
        <v>457</v>
      </c>
      <c r="K13" s="251" t="s">
        <v>458</v>
      </c>
      <c r="L13" s="252" t="s">
        <v>87</v>
      </c>
      <c r="M13" s="253"/>
      <c r="N13" s="254"/>
      <c r="O13" s="255">
        <f>SUM(O14:O17)</f>
        <v>173.4</v>
      </c>
    </row>
    <row r="14" spans="2:15" ht="22.5">
      <c r="J14" s="256" t="s">
        <v>142</v>
      </c>
      <c r="K14" s="257" t="s">
        <v>143</v>
      </c>
      <c r="L14" s="258" t="s">
        <v>20</v>
      </c>
      <c r="M14" s="259">
        <v>1.45</v>
      </c>
      <c r="N14" s="260">
        <v>18.760000000000002</v>
      </c>
      <c r="O14" s="261">
        <f>N14*M14</f>
        <v>27.202000000000002</v>
      </c>
    </row>
    <row r="15" spans="2:15" ht="22.5">
      <c r="J15" s="256" t="s">
        <v>78</v>
      </c>
      <c r="K15" s="257" t="s">
        <v>79</v>
      </c>
      <c r="L15" s="258" t="s">
        <v>20</v>
      </c>
      <c r="M15" s="259">
        <v>1.45</v>
      </c>
      <c r="N15" s="260">
        <v>13.22</v>
      </c>
      <c r="O15" s="261">
        <f>N15*M15</f>
        <v>19.169</v>
      </c>
    </row>
    <row r="16" spans="2:15">
      <c r="J16" s="256" t="s">
        <v>459</v>
      </c>
      <c r="K16" s="257" t="s">
        <v>460</v>
      </c>
      <c r="L16" s="258" t="s">
        <v>25</v>
      </c>
      <c r="M16" s="259">
        <v>1.05</v>
      </c>
      <c r="N16" s="260">
        <v>45.98</v>
      </c>
      <c r="O16" s="261">
        <f>N16*M16</f>
        <v>48.278999999999996</v>
      </c>
    </row>
    <row r="17" spans="10:16" ht="22.5">
      <c r="J17" s="256" t="s">
        <v>459</v>
      </c>
      <c r="K17" s="257" t="s">
        <v>461</v>
      </c>
      <c r="L17" s="258" t="s">
        <v>462</v>
      </c>
      <c r="M17" s="259">
        <v>15</v>
      </c>
      <c r="N17" s="260">
        <v>5.25</v>
      </c>
      <c r="O17" s="261">
        <f>N17*M17</f>
        <v>78.75</v>
      </c>
    </row>
    <row r="18" spans="10:16">
      <c r="J18" s="256"/>
      <c r="K18" s="257"/>
      <c r="L18" s="258"/>
      <c r="M18" s="262"/>
      <c r="N18" s="260"/>
      <c r="O18" s="261"/>
    </row>
    <row r="25" spans="10:16">
      <c r="K25" s="265" t="s">
        <v>75</v>
      </c>
      <c r="L25" s="265" t="s">
        <v>468</v>
      </c>
      <c r="M25" s="266" t="s">
        <v>469</v>
      </c>
      <c r="N25" s="265" t="s">
        <v>470</v>
      </c>
      <c r="O25" s="265" t="s">
        <v>471</v>
      </c>
      <c r="P25" s="265" t="s">
        <v>472</v>
      </c>
    </row>
    <row r="26" spans="10:16">
      <c r="K26" s="265" t="s">
        <v>76</v>
      </c>
      <c r="L26" s="265" t="s">
        <v>142</v>
      </c>
      <c r="M26" s="265" t="s">
        <v>143</v>
      </c>
      <c r="N26" s="265" t="s">
        <v>77</v>
      </c>
      <c r="O26" s="265" t="s">
        <v>471</v>
      </c>
      <c r="P26" s="265" t="s">
        <v>473</v>
      </c>
    </row>
    <row r="27" spans="10:16">
      <c r="K27" s="265" t="s">
        <v>76</v>
      </c>
      <c r="L27" s="265" t="s">
        <v>78</v>
      </c>
      <c r="M27" s="265" t="s">
        <v>79</v>
      </c>
      <c r="N27" s="265" t="s">
        <v>77</v>
      </c>
      <c r="O27" s="265" t="s">
        <v>471</v>
      </c>
      <c r="P27" s="265" t="s">
        <v>179</v>
      </c>
    </row>
  </sheetData>
  <mergeCells count="8">
    <mergeCell ref="B5:C5"/>
    <mergeCell ref="B6:C6"/>
    <mergeCell ref="B1:C1"/>
    <mergeCell ref="D1:H1"/>
    <mergeCell ref="B2:C2"/>
    <mergeCell ref="D2:H2"/>
    <mergeCell ref="B3:C3"/>
    <mergeCell ref="B4:C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D1:H42"/>
  <sheetViews>
    <sheetView topLeftCell="A25" workbookViewId="0">
      <selection activeCell="D33" sqref="D33:F33"/>
    </sheetView>
  </sheetViews>
  <sheetFormatPr defaultRowHeight="15"/>
  <cols>
    <col min="4" max="4" width="48.42578125" customWidth="1"/>
    <col min="5" max="5" width="7.85546875" customWidth="1"/>
    <col min="6" max="6" width="17" customWidth="1"/>
    <col min="7" max="7" width="10.140625" customWidth="1"/>
  </cols>
  <sheetData>
    <row r="1" spans="4:7" ht="15.75" thickBot="1">
      <c r="D1" s="743" t="s">
        <v>574</v>
      </c>
      <c r="E1" s="744"/>
      <c r="F1" s="745"/>
    </row>
    <row r="2" spans="4:7" ht="15.75" thickBot="1"/>
    <row r="3" spans="4:7" ht="15.75" thickBot="1">
      <c r="D3" s="467" t="s">
        <v>575</v>
      </c>
      <c r="E3" s="468"/>
      <c r="F3" s="469"/>
    </row>
    <row r="4" spans="4:7">
      <c r="D4" s="411" t="s">
        <v>538</v>
      </c>
      <c r="E4" s="412"/>
      <c r="F4" s="413"/>
    </row>
    <row r="5" spans="4:7">
      <c r="D5" s="414"/>
      <c r="E5" s="19" t="s">
        <v>453</v>
      </c>
      <c r="F5" s="415" t="s">
        <v>537</v>
      </c>
    </row>
    <row r="6" spans="4:7">
      <c r="D6" s="414" t="s">
        <v>529</v>
      </c>
      <c r="E6" s="19" t="s">
        <v>544</v>
      </c>
      <c r="F6" s="415">
        <v>7.44</v>
      </c>
    </row>
    <row r="7" spans="4:7">
      <c r="D7" s="414" t="s">
        <v>530</v>
      </c>
      <c r="E7" s="19" t="s">
        <v>544</v>
      </c>
      <c r="F7" s="415">
        <v>7.44</v>
      </c>
    </row>
    <row r="8" spans="4:7">
      <c r="D8" s="414" t="s">
        <v>531</v>
      </c>
      <c r="E8" s="19" t="s">
        <v>544</v>
      </c>
      <c r="F8" s="415">
        <v>6.12</v>
      </c>
    </row>
    <row r="9" spans="4:7">
      <c r="D9" s="414" t="s">
        <v>532</v>
      </c>
      <c r="E9" s="19" t="s">
        <v>544</v>
      </c>
      <c r="F9" s="415">
        <v>6.12</v>
      </c>
    </row>
    <row r="10" spans="4:7">
      <c r="D10" s="414" t="s">
        <v>533</v>
      </c>
      <c r="E10" s="19" t="s">
        <v>544</v>
      </c>
      <c r="F10" s="415">
        <v>6.12</v>
      </c>
    </row>
    <row r="11" spans="4:7">
      <c r="D11" s="414" t="s">
        <v>534</v>
      </c>
      <c r="E11" s="19" t="s">
        <v>536</v>
      </c>
      <c r="F11" s="415">
        <v>110.73</v>
      </c>
      <c r="G11" s="264">
        <f>110.73/23.5</f>
        <v>4.7119148936170214</v>
      </c>
    </row>
    <row r="12" spans="4:7" ht="15.75" thickBot="1">
      <c r="D12" s="416" t="s">
        <v>535</v>
      </c>
      <c r="E12" s="417" t="s">
        <v>453</v>
      </c>
      <c r="F12" s="418">
        <v>116.34</v>
      </c>
    </row>
    <row r="14" spans="4:7" ht="15.75" thickBot="1"/>
    <row r="15" spans="4:7" ht="15.75" thickBot="1">
      <c r="D15" s="467" t="s">
        <v>576</v>
      </c>
      <c r="E15" s="468"/>
      <c r="F15" s="469"/>
    </row>
    <row r="16" spans="4:7">
      <c r="D16" s="411" t="s">
        <v>539</v>
      </c>
      <c r="E16" s="412"/>
      <c r="F16" s="413"/>
    </row>
    <row r="17" spans="4:6">
      <c r="D17" s="414"/>
      <c r="E17" s="19" t="s">
        <v>453</v>
      </c>
      <c r="F17" s="415" t="s">
        <v>537</v>
      </c>
    </row>
    <row r="18" spans="4:6">
      <c r="D18" s="414" t="s">
        <v>540</v>
      </c>
      <c r="E18" s="19" t="s">
        <v>544</v>
      </c>
      <c r="F18" s="419">
        <f>5077.47/1117.8</f>
        <v>4.5423778851315086</v>
      </c>
    </row>
    <row r="19" spans="4:6">
      <c r="D19" s="414" t="s">
        <v>541</v>
      </c>
      <c r="E19" s="19" t="s">
        <v>544</v>
      </c>
      <c r="F19" s="419">
        <f>1667.31/320.96</f>
        <v>5.1947594715852441</v>
      </c>
    </row>
    <row r="20" spans="4:6">
      <c r="D20" s="414" t="s">
        <v>542</v>
      </c>
      <c r="E20" s="19" t="s">
        <v>544</v>
      </c>
      <c r="F20" s="419">
        <f>3827.82/822</f>
        <v>4.6567153284671532</v>
      </c>
    </row>
    <row r="21" spans="4:6">
      <c r="D21" s="414" t="s">
        <v>540</v>
      </c>
      <c r="E21" s="19" t="s">
        <v>544</v>
      </c>
      <c r="F21" s="419">
        <f>110.38/24.3</f>
        <v>4.5423868312757198</v>
      </c>
    </row>
    <row r="22" spans="4:6" ht="15.75" thickBot="1">
      <c r="D22" s="416" t="s">
        <v>543</v>
      </c>
      <c r="E22" s="417" t="s">
        <v>544</v>
      </c>
      <c r="F22" s="420">
        <f>141.95/31.25</f>
        <v>4.5423999999999998</v>
      </c>
    </row>
    <row r="24" spans="4:6" ht="15.75" thickBot="1"/>
    <row r="25" spans="4:6" ht="15.75" thickBot="1">
      <c r="D25" s="467" t="s">
        <v>576</v>
      </c>
      <c r="E25" s="468"/>
      <c r="F25" s="469"/>
    </row>
    <row r="26" spans="4:6">
      <c r="D26" s="410" t="s">
        <v>189</v>
      </c>
      <c r="E26" s="19"/>
      <c r="F26" s="19"/>
    </row>
    <row r="27" spans="4:6">
      <c r="D27" s="19"/>
      <c r="E27" s="19" t="s">
        <v>453</v>
      </c>
      <c r="F27" s="415" t="s">
        <v>537</v>
      </c>
    </row>
    <row r="28" spans="4:6">
      <c r="D28" s="19" t="s">
        <v>545</v>
      </c>
      <c r="E28" s="19" t="s">
        <v>544</v>
      </c>
      <c r="F28" s="19">
        <v>5.9850000000000003</v>
      </c>
    </row>
    <row r="29" spans="4:6">
      <c r="D29" s="19" t="s">
        <v>546</v>
      </c>
      <c r="E29" s="19" t="s">
        <v>544</v>
      </c>
      <c r="F29" s="19">
        <v>6.12</v>
      </c>
    </row>
    <row r="30" spans="4:6">
      <c r="D30" s="19" t="s">
        <v>547</v>
      </c>
      <c r="E30" s="19" t="s">
        <v>544</v>
      </c>
      <c r="F30" s="19">
        <v>9.7379999999999995</v>
      </c>
    </row>
    <row r="31" spans="4:6">
      <c r="D31" s="19" t="s">
        <v>548</v>
      </c>
      <c r="E31" s="19" t="s">
        <v>544</v>
      </c>
      <c r="F31" s="19">
        <v>5.6340000000000003</v>
      </c>
    </row>
    <row r="32" spans="4:6">
      <c r="D32" s="19" t="s">
        <v>546</v>
      </c>
      <c r="E32" s="19" t="s">
        <v>544</v>
      </c>
      <c r="F32" s="19">
        <v>6.12</v>
      </c>
    </row>
    <row r="33" spans="4:8">
      <c r="D33" s="19" t="s">
        <v>549</v>
      </c>
      <c r="E33" s="19" t="s">
        <v>559</v>
      </c>
      <c r="F33" s="19">
        <v>25.25</v>
      </c>
      <c r="G33" s="264">
        <v>7.7037000000000004</v>
      </c>
      <c r="H33" s="357" t="s">
        <v>63</v>
      </c>
    </row>
    <row r="34" spans="4:8">
      <c r="D34" s="19" t="s">
        <v>550</v>
      </c>
      <c r="E34" s="19" t="s">
        <v>544</v>
      </c>
      <c r="F34" s="19">
        <v>5.1462000000000003</v>
      </c>
    </row>
    <row r="35" spans="4:8">
      <c r="D35" s="19" t="s">
        <v>551</v>
      </c>
      <c r="E35" s="19" t="s">
        <v>544</v>
      </c>
      <c r="F35" s="19">
        <v>5.1456999999999997</v>
      </c>
    </row>
    <row r="36" spans="4:8">
      <c r="D36" s="19" t="s">
        <v>552</v>
      </c>
      <c r="E36" s="19" t="s">
        <v>544</v>
      </c>
      <c r="F36" s="19">
        <v>5.9850000000000003</v>
      </c>
    </row>
    <row r="37" spans="4:8">
      <c r="D37" s="19" t="s">
        <v>553</v>
      </c>
      <c r="E37" s="19" t="s">
        <v>544</v>
      </c>
      <c r="F37" s="19">
        <v>5.2919999999999998</v>
      </c>
    </row>
    <row r="38" spans="4:8">
      <c r="D38" s="19" t="s">
        <v>554</v>
      </c>
      <c r="E38" s="19"/>
      <c r="F38" s="19"/>
    </row>
    <row r="39" spans="4:8">
      <c r="D39" s="19" t="s">
        <v>555</v>
      </c>
      <c r="E39" s="19" t="s">
        <v>559</v>
      </c>
      <c r="F39" s="19">
        <v>100.65</v>
      </c>
    </row>
    <row r="40" spans="4:8">
      <c r="D40" s="19" t="s">
        <v>556</v>
      </c>
      <c r="E40" s="19" t="s">
        <v>544</v>
      </c>
      <c r="F40" s="19">
        <v>5.6340000000000003</v>
      </c>
    </row>
    <row r="41" spans="4:8">
      <c r="D41" s="19" t="s">
        <v>557</v>
      </c>
      <c r="E41" s="19" t="s">
        <v>544</v>
      </c>
      <c r="F41" s="19">
        <v>4.8544</v>
      </c>
    </row>
    <row r="42" spans="4:8">
      <c r="D42" s="19" t="s">
        <v>558</v>
      </c>
      <c r="E42" s="19" t="s">
        <v>544</v>
      </c>
      <c r="F42" s="19">
        <v>4.8544999999999998</v>
      </c>
    </row>
  </sheetData>
  <mergeCells count="1">
    <mergeCell ref="D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ORÇAMENTO</vt:lpstr>
      <vt:lpstr>Cronograma (2)</vt:lpstr>
      <vt:lpstr>Cronograma</vt:lpstr>
      <vt:lpstr>BDI</vt:lpstr>
      <vt:lpstr>Curva ABC </vt:lpstr>
      <vt:lpstr>%Acumulado</vt:lpstr>
      <vt:lpstr>Composições</vt:lpstr>
      <vt:lpstr>Plan5</vt:lpstr>
      <vt:lpstr>Cotações</vt:lpstr>
      <vt:lpstr>Referências</vt:lpstr>
      <vt:lpstr>ORÇ. BASE</vt:lpstr>
      <vt:lpstr>Plan1</vt:lpstr>
    </vt:vector>
  </TitlesOfParts>
  <Company>TREDF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assistente</dc:creator>
  <cp:lastModifiedBy>tre-img</cp:lastModifiedBy>
  <cp:lastPrinted>2018-07-12T18:08:22Z</cp:lastPrinted>
  <dcterms:created xsi:type="dcterms:W3CDTF">2018-03-05T18:54:15Z</dcterms:created>
  <dcterms:modified xsi:type="dcterms:W3CDTF">2018-09-21T18:44:38Z</dcterms:modified>
</cp:coreProperties>
</file>