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66925"/>
  <xr:revisionPtr revIDLastSave="16" documentId="11_C8FF5A936A40DFFF34C0322F159142EA1CC1CF30" xr6:coauthVersionLast="47" xr6:coauthVersionMax="47" xr10:uidLastSave="{168770CF-AC4C-48F2-8EF5-809694128DC4}"/>
  <bookViews>
    <workbookView xWindow="240" yWindow="105" windowWidth="14805" windowHeight="8010" xr2:uid="{00000000-000D-0000-FFFF-FFFF00000000}"/>
  </bookViews>
  <sheets>
    <sheet name="Elétrica" sheetId="2" r:id="rId1"/>
    <sheet name="Automação e Comunicação" sheetId="3" r:id="rId2"/>
    <sheet name="Rede Frigorígena" sheetId="7" r:id="rId3"/>
    <sheet name="Dreno condensado" sheetId="6" r:id="rId4"/>
    <sheet name="Renovação de ar" sheetId="5" r:id="rId5"/>
    <sheet name="Exaustão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1" i="6" l="1"/>
  <c r="F70" i="6"/>
  <c r="G70" i="6" s="1"/>
  <c r="H70" i="6" s="1"/>
  <c r="F69" i="6"/>
  <c r="G69" i="6" s="1"/>
  <c r="H69" i="6" s="1"/>
  <c r="F68" i="6"/>
  <c r="G68" i="6" s="1"/>
  <c r="H68" i="6" s="1"/>
  <c r="F67" i="6"/>
  <c r="G67" i="6" s="1"/>
  <c r="H67" i="6" s="1"/>
  <c r="F66" i="6"/>
  <c r="G66" i="6" s="1"/>
  <c r="H66" i="6" s="1"/>
  <c r="F65" i="6"/>
  <c r="G65" i="6" s="1"/>
  <c r="H65" i="6" s="1"/>
  <c r="F64" i="6"/>
  <c r="G64" i="6" s="1"/>
  <c r="H64" i="6" s="1"/>
  <c r="A64" i="6"/>
  <c r="A65" i="6" s="1"/>
  <c r="A66" i="6" s="1"/>
  <c r="A67" i="6" s="1"/>
  <c r="A68" i="6" s="1"/>
  <c r="A69" i="6" s="1"/>
  <c r="A70" i="6" s="1"/>
  <c r="I60" i="6"/>
  <c r="F59" i="6"/>
  <c r="G59" i="6" s="1"/>
  <c r="H59" i="6" s="1"/>
  <c r="F58" i="6"/>
  <c r="G58" i="6" s="1"/>
  <c r="H58" i="6" s="1"/>
  <c r="F57" i="6"/>
  <c r="G57" i="6" s="1"/>
  <c r="H57" i="6" s="1"/>
  <c r="F56" i="6"/>
  <c r="G56" i="6" s="1"/>
  <c r="H56" i="6" s="1"/>
  <c r="F55" i="6"/>
  <c r="G55" i="6" s="1"/>
  <c r="H55" i="6" s="1"/>
  <c r="F54" i="6"/>
  <c r="G54" i="6" s="1"/>
  <c r="H54" i="6" s="1"/>
  <c r="F53" i="6"/>
  <c r="G53" i="6" s="1"/>
  <c r="H53" i="6" s="1"/>
  <c r="F52" i="6"/>
  <c r="G52" i="6" s="1"/>
  <c r="H52" i="6" s="1"/>
  <c r="F51" i="6"/>
  <c r="G51" i="6" s="1"/>
  <c r="H51" i="6" s="1"/>
  <c r="F50" i="6"/>
  <c r="G50" i="6" s="1"/>
  <c r="H50" i="6" s="1"/>
  <c r="F49" i="6"/>
  <c r="G49" i="6" s="1"/>
  <c r="H49" i="6" s="1"/>
  <c r="F48" i="6"/>
  <c r="G48" i="6" s="1"/>
  <c r="H48" i="6" s="1"/>
  <c r="F47" i="6"/>
  <c r="G47" i="6" s="1"/>
  <c r="H47" i="6" s="1"/>
  <c r="F46" i="6"/>
  <c r="G46" i="6" s="1"/>
  <c r="H46" i="6" s="1"/>
  <c r="F45" i="6"/>
  <c r="G45" i="6" s="1"/>
  <c r="H45" i="6" s="1"/>
  <c r="F44" i="6"/>
  <c r="G44" i="6" s="1"/>
  <c r="H44" i="6" s="1"/>
  <c r="F43" i="6"/>
  <c r="G43" i="6" s="1"/>
  <c r="H43" i="6" s="1"/>
  <c r="F42" i="6"/>
  <c r="G42" i="6" s="1"/>
  <c r="H42" i="6" s="1"/>
  <c r="F41" i="6"/>
  <c r="G41" i="6" s="1"/>
  <c r="H41" i="6" s="1"/>
  <c r="F40" i="6"/>
  <c r="G40" i="6" s="1"/>
  <c r="H40" i="6" s="1"/>
  <c r="F39" i="6"/>
  <c r="G39" i="6" s="1"/>
  <c r="H39" i="6" s="1"/>
  <c r="F38" i="6"/>
  <c r="G38" i="6" s="1"/>
  <c r="H38" i="6" s="1"/>
  <c r="F37" i="6"/>
  <c r="G37" i="6" s="1"/>
  <c r="H37" i="6" s="1"/>
  <c r="F36" i="6"/>
  <c r="G36" i="6" s="1"/>
  <c r="H36" i="6" s="1"/>
  <c r="F35" i="6"/>
  <c r="G35" i="6" s="1"/>
  <c r="H35" i="6" s="1"/>
  <c r="F34" i="6"/>
  <c r="G34" i="6" s="1"/>
  <c r="H34" i="6" s="1"/>
  <c r="F33" i="6"/>
  <c r="G33" i="6" s="1"/>
  <c r="H33" i="6" s="1"/>
  <c r="F32" i="6"/>
  <c r="G32" i="6" s="1"/>
  <c r="H32" i="6" s="1"/>
  <c r="F31" i="6"/>
  <c r="G31" i="6" s="1"/>
  <c r="H31" i="6" s="1"/>
  <c r="F30" i="6"/>
  <c r="G30" i="6" s="1"/>
  <c r="H30" i="6" s="1"/>
  <c r="F29" i="6"/>
  <c r="G29" i="6" s="1"/>
  <c r="H29" i="6" s="1"/>
  <c r="F28" i="6"/>
  <c r="G28" i="6" s="1"/>
  <c r="H28" i="6" s="1"/>
  <c r="F27" i="6"/>
  <c r="G27" i="6" s="1"/>
  <c r="H27" i="6" s="1"/>
  <c r="F26" i="6"/>
  <c r="G26" i="6" s="1"/>
  <c r="H26" i="6" s="1"/>
  <c r="F25" i="6"/>
  <c r="G25" i="6" s="1"/>
  <c r="H25" i="6" s="1"/>
  <c r="F24" i="6"/>
  <c r="G24" i="6" s="1"/>
  <c r="H24" i="6" s="1"/>
  <c r="F23" i="6"/>
  <c r="G23" i="6" s="1"/>
  <c r="H23" i="6" s="1"/>
  <c r="F22" i="6"/>
  <c r="G22" i="6" s="1"/>
  <c r="H22" i="6" s="1"/>
  <c r="F21" i="6"/>
  <c r="G21" i="6" s="1"/>
  <c r="H21" i="6" s="1"/>
  <c r="F20" i="6"/>
  <c r="G20" i="6" s="1"/>
  <c r="H20" i="6" s="1"/>
  <c r="F19" i="6"/>
  <c r="G19" i="6" s="1"/>
  <c r="H19" i="6" s="1"/>
  <c r="F18" i="6"/>
  <c r="G18" i="6" s="1"/>
  <c r="H18" i="6" s="1"/>
  <c r="F17" i="6"/>
  <c r="G17" i="6" s="1"/>
  <c r="H17" i="6" s="1"/>
  <c r="F16" i="6"/>
  <c r="G16" i="6" s="1"/>
  <c r="H16" i="6" s="1"/>
  <c r="F15" i="6"/>
  <c r="G15" i="6" s="1"/>
  <c r="H15" i="6" s="1"/>
  <c r="F14" i="6"/>
  <c r="G14" i="6" s="1"/>
  <c r="H14" i="6" s="1"/>
  <c r="F13" i="6"/>
  <c r="G13" i="6" s="1"/>
  <c r="H13" i="6" s="1"/>
  <c r="F12" i="6"/>
  <c r="G12" i="6" s="1"/>
  <c r="H12" i="6" s="1"/>
  <c r="F11" i="6"/>
  <c r="G11" i="6" s="1"/>
  <c r="H11" i="6" s="1"/>
  <c r="F10" i="6"/>
  <c r="G10" i="6" s="1"/>
  <c r="H10" i="6" s="1"/>
  <c r="F9" i="6"/>
  <c r="G9" i="6" s="1"/>
  <c r="H9" i="6" s="1"/>
  <c r="F8" i="6"/>
  <c r="G8" i="6" s="1"/>
  <c r="H8" i="6" s="1"/>
  <c r="F7" i="6"/>
  <c r="G7" i="6" s="1"/>
  <c r="H7" i="6" s="1"/>
  <c r="F6" i="6"/>
  <c r="G6" i="6" s="1"/>
  <c r="H6" i="6" s="1"/>
  <c r="F5" i="6"/>
  <c r="G5" i="6" s="1"/>
  <c r="H5" i="6" s="1"/>
  <c r="F4" i="6"/>
  <c r="G4" i="6" s="1"/>
  <c r="H4" i="6" s="1"/>
  <c r="F3" i="6"/>
  <c r="G3" i="6" s="1"/>
  <c r="H3" i="6" s="1"/>
  <c r="H184" i="5"/>
  <c r="H183" i="5"/>
  <c r="H179" i="5"/>
  <c r="H178" i="5"/>
  <c r="H174" i="5"/>
  <c r="H173" i="5"/>
  <c r="H169" i="5"/>
  <c r="H168" i="5"/>
  <c r="O160" i="5"/>
  <c r="Q160" i="5" s="1"/>
  <c r="R160" i="5" s="1"/>
  <c r="J160" i="5"/>
  <c r="K160" i="5" s="1"/>
  <c r="O159" i="5"/>
  <c r="Q159" i="5" s="1"/>
  <c r="R159" i="5" s="1"/>
  <c r="J159" i="5"/>
  <c r="K159" i="5" s="1"/>
  <c r="I159" i="5"/>
  <c r="O158" i="5"/>
  <c r="Q158" i="5" s="1"/>
  <c r="R158" i="5" s="1"/>
  <c r="J158" i="5"/>
  <c r="K158" i="5" s="1"/>
  <c r="O157" i="5"/>
  <c r="Q157" i="5" s="1"/>
  <c r="R157" i="5" s="1"/>
  <c r="J157" i="5"/>
  <c r="K157" i="5" s="1"/>
  <c r="I157" i="5"/>
  <c r="O156" i="5"/>
  <c r="Q156" i="5" s="1"/>
  <c r="R156" i="5" s="1"/>
  <c r="J156" i="5"/>
  <c r="K156" i="5" s="1"/>
  <c r="O155" i="5"/>
  <c r="Q155" i="5" s="1"/>
  <c r="R155" i="5" s="1"/>
  <c r="J155" i="5"/>
  <c r="K155" i="5" s="1"/>
  <c r="I155" i="5"/>
  <c r="O154" i="5"/>
  <c r="Q154" i="5" s="1"/>
  <c r="R154" i="5" s="1"/>
  <c r="J154" i="5"/>
  <c r="K154" i="5" s="1"/>
  <c r="O153" i="5"/>
  <c r="Q153" i="5" s="1"/>
  <c r="R153" i="5" s="1"/>
  <c r="J153" i="5"/>
  <c r="K153" i="5" s="1"/>
  <c r="I153" i="5"/>
  <c r="O152" i="5"/>
  <c r="Q152" i="5" s="1"/>
  <c r="R152" i="5" s="1"/>
  <c r="J152" i="5"/>
  <c r="K152" i="5" s="1"/>
  <c r="O151" i="5"/>
  <c r="Q151" i="5" s="1"/>
  <c r="R151" i="5" s="1"/>
  <c r="J151" i="5"/>
  <c r="K151" i="5" s="1"/>
  <c r="I151" i="5"/>
  <c r="O150" i="5"/>
  <c r="Q150" i="5" s="1"/>
  <c r="R150" i="5" s="1"/>
  <c r="J150" i="5"/>
  <c r="K150" i="5" s="1"/>
  <c r="O149" i="5"/>
  <c r="Q149" i="5" s="1"/>
  <c r="R149" i="5" s="1"/>
  <c r="J149" i="5"/>
  <c r="K149" i="5" s="1"/>
  <c r="I149" i="5"/>
  <c r="O148" i="5"/>
  <c r="Q148" i="5" s="1"/>
  <c r="R148" i="5" s="1"/>
  <c r="J148" i="5"/>
  <c r="K148" i="5" s="1"/>
  <c r="O147" i="5"/>
  <c r="Q147" i="5" s="1"/>
  <c r="R147" i="5" s="1"/>
  <c r="J147" i="5"/>
  <c r="K147" i="5" s="1"/>
  <c r="I147" i="5"/>
  <c r="O146" i="5"/>
  <c r="Q146" i="5" s="1"/>
  <c r="R146" i="5" s="1"/>
  <c r="J146" i="5"/>
  <c r="K146" i="5" s="1"/>
  <c r="O145" i="5"/>
  <c r="Q145" i="5" s="1"/>
  <c r="R145" i="5" s="1"/>
  <c r="J145" i="5"/>
  <c r="K145" i="5" s="1"/>
  <c r="I145" i="5"/>
  <c r="O144" i="5"/>
  <c r="Q144" i="5" s="1"/>
  <c r="R144" i="5" s="1"/>
  <c r="J144" i="5"/>
  <c r="K144" i="5" s="1"/>
  <c r="O143" i="5"/>
  <c r="Q143" i="5" s="1"/>
  <c r="R143" i="5" s="1"/>
  <c r="J143" i="5"/>
  <c r="K143" i="5" s="1"/>
  <c r="I143" i="5"/>
  <c r="I181" i="5" s="1"/>
  <c r="O142" i="5"/>
  <c r="Q142" i="5" s="1"/>
  <c r="R142" i="5" s="1"/>
  <c r="J142" i="5"/>
  <c r="O138" i="5"/>
  <c r="Q138" i="5" s="1"/>
  <c r="R138" i="5" s="1"/>
  <c r="J138" i="5"/>
  <c r="K138" i="5" s="1"/>
  <c r="I138" i="5"/>
  <c r="O137" i="5"/>
  <c r="Q137" i="5" s="1"/>
  <c r="R137" i="5" s="1"/>
  <c r="J137" i="5"/>
  <c r="K137" i="5" s="1"/>
  <c r="I137" i="5"/>
  <c r="O136" i="5"/>
  <c r="Q136" i="5" s="1"/>
  <c r="R136" i="5" s="1"/>
  <c r="J136" i="5"/>
  <c r="K136" i="5" s="1"/>
  <c r="I136" i="5"/>
  <c r="O135" i="5"/>
  <c r="Q135" i="5" s="1"/>
  <c r="R135" i="5" s="1"/>
  <c r="J135" i="5"/>
  <c r="K135" i="5" s="1"/>
  <c r="I135" i="5"/>
  <c r="O134" i="5"/>
  <c r="Q134" i="5" s="1"/>
  <c r="R134" i="5" s="1"/>
  <c r="J134" i="5"/>
  <c r="K134" i="5" s="1"/>
  <c r="I134" i="5"/>
  <c r="O133" i="5"/>
  <c r="Q133" i="5" s="1"/>
  <c r="R133" i="5" s="1"/>
  <c r="J133" i="5"/>
  <c r="K133" i="5" s="1"/>
  <c r="I133" i="5"/>
  <c r="O132" i="5"/>
  <c r="Q132" i="5" s="1"/>
  <c r="R132" i="5" s="1"/>
  <c r="J132" i="5"/>
  <c r="K132" i="5" s="1"/>
  <c r="I132" i="5"/>
  <c r="O131" i="5"/>
  <c r="Q131" i="5" s="1"/>
  <c r="R131" i="5" s="1"/>
  <c r="J131" i="5"/>
  <c r="K131" i="5" s="1"/>
  <c r="I131" i="5"/>
  <c r="O130" i="5"/>
  <c r="Q130" i="5" s="1"/>
  <c r="R130" i="5" s="1"/>
  <c r="J130" i="5"/>
  <c r="K130" i="5" s="1"/>
  <c r="I130" i="5"/>
  <c r="O129" i="5"/>
  <c r="Q129" i="5" s="1"/>
  <c r="R129" i="5" s="1"/>
  <c r="J129" i="5"/>
  <c r="K129" i="5" s="1"/>
  <c r="I129" i="5"/>
  <c r="O128" i="5"/>
  <c r="Q128" i="5" s="1"/>
  <c r="R128" i="5" s="1"/>
  <c r="J128" i="5"/>
  <c r="K128" i="5" s="1"/>
  <c r="I128" i="5"/>
  <c r="O127" i="5"/>
  <c r="Q127" i="5" s="1"/>
  <c r="R127" i="5" s="1"/>
  <c r="J127" i="5"/>
  <c r="K127" i="5" s="1"/>
  <c r="I127" i="5"/>
  <c r="O126" i="5"/>
  <c r="Q126" i="5" s="1"/>
  <c r="R126" i="5" s="1"/>
  <c r="J126" i="5"/>
  <c r="K126" i="5" s="1"/>
  <c r="I126" i="5"/>
  <c r="O125" i="5"/>
  <c r="Q125" i="5" s="1"/>
  <c r="R125" i="5" s="1"/>
  <c r="J125" i="5"/>
  <c r="K125" i="5" s="1"/>
  <c r="I125" i="5"/>
  <c r="O124" i="5"/>
  <c r="Q124" i="5" s="1"/>
  <c r="R124" i="5" s="1"/>
  <c r="J124" i="5"/>
  <c r="K124" i="5" s="1"/>
  <c r="I124" i="5"/>
  <c r="O123" i="5"/>
  <c r="Q123" i="5" s="1"/>
  <c r="R123" i="5" s="1"/>
  <c r="J123" i="5"/>
  <c r="K123" i="5" s="1"/>
  <c r="I123" i="5"/>
  <c r="O122" i="5"/>
  <c r="Q122" i="5" s="1"/>
  <c r="R122" i="5" s="1"/>
  <c r="J122" i="5"/>
  <c r="K122" i="5" s="1"/>
  <c r="I122" i="5"/>
  <c r="O121" i="5"/>
  <c r="Q121" i="5" s="1"/>
  <c r="R121" i="5" s="1"/>
  <c r="J121" i="5"/>
  <c r="K121" i="5" s="1"/>
  <c r="I121" i="5"/>
  <c r="O120" i="5"/>
  <c r="Q120" i="5" s="1"/>
  <c r="R120" i="5" s="1"/>
  <c r="J120" i="5"/>
  <c r="K120" i="5" s="1"/>
  <c r="I120" i="5"/>
  <c r="O119" i="5"/>
  <c r="Q119" i="5" s="1"/>
  <c r="R119" i="5" s="1"/>
  <c r="J119" i="5"/>
  <c r="I119" i="5"/>
  <c r="I176" i="5" s="1"/>
  <c r="O114" i="5"/>
  <c r="Q114" i="5" s="1"/>
  <c r="R114" i="5" s="1"/>
  <c r="J114" i="5"/>
  <c r="K114" i="5" s="1"/>
  <c r="I114" i="5"/>
  <c r="O113" i="5"/>
  <c r="Q113" i="5" s="1"/>
  <c r="R113" i="5" s="1"/>
  <c r="J113" i="5"/>
  <c r="K113" i="5" s="1"/>
  <c r="I113" i="5"/>
  <c r="O112" i="5"/>
  <c r="Q112" i="5" s="1"/>
  <c r="R112" i="5" s="1"/>
  <c r="J112" i="5"/>
  <c r="K112" i="5" s="1"/>
  <c r="I112" i="5"/>
  <c r="O111" i="5"/>
  <c r="Q111" i="5" s="1"/>
  <c r="R111" i="5" s="1"/>
  <c r="J111" i="5"/>
  <c r="K111" i="5" s="1"/>
  <c r="I111" i="5"/>
  <c r="O110" i="5"/>
  <c r="Q110" i="5" s="1"/>
  <c r="R110" i="5" s="1"/>
  <c r="J110" i="5"/>
  <c r="K110" i="5" s="1"/>
  <c r="I110" i="5"/>
  <c r="O109" i="5"/>
  <c r="Q109" i="5" s="1"/>
  <c r="R109" i="5" s="1"/>
  <c r="J109" i="5"/>
  <c r="K109" i="5" s="1"/>
  <c r="I109" i="5"/>
  <c r="O108" i="5"/>
  <c r="Q108" i="5" s="1"/>
  <c r="R108" i="5" s="1"/>
  <c r="J108" i="5"/>
  <c r="K108" i="5" s="1"/>
  <c r="I108" i="5"/>
  <c r="O107" i="5"/>
  <c r="Q107" i="5" s="1"/>
  <c r="R107" i="5" s="1"/>
  <c r="J107" i="5"/>
  <c r="K107" i="5" s="1"/>
  <c r="I107" i="5"/>
  <c r="O106" i="5"/>
  <c r="Q106" i="5" s="1"/>
  <c r="R106" i="5" s="1"/>
  <c r="J106" i="5"/>
  <c r="K106" i="5" s="1"/>
  <c r="I106" i="5"/>
  <c r="O105" i="5"/>
  <c r="Q105" i="5" s="1"/>
  <c r="R105" i="5" s="1"/>
  <c r="J105" i="5"/>
  <c r="K105" i="5" s="1"/>
  <c r="I105" i="5"/>
  <c r="O104" i="5"/>
  <c r="Q104" i="5" s="1"/>
  <c r="R104" i="5" s="1"/>
  <c r="J104" i="5"/>
  <c r="K104" i="5" s="1"/>
  <c r="I104" i="5"/>
  <c r="O103" i="5"/>
  <c r="Q103" i="5" s="1"/>
  <c r="R103" i="5" s="1"/>
  <c r="J103" i="5"/>
  <c r="K103" i="5" s="1"/>
  <c r="I103" i="5"/>
  <c r="O102" i="5"/>
  <c r="Q102" i="5" s="1"/>
  <c r="R102" i="5" s="1"/>
  <c r="J102" i="5"/>
  <c r="K102" i="5" s="1"/>
  <c r="I102" i="5"/>
  <c r="O101" i="5"/>
  <c r="Q101" i="5" s="1"/>
  <c r="R101" i="5" s="1"/>
  <c r="J101" i="5"/>
  <c r="K101" i="5" s="1"/>
  <c r="I101" i="5"/>
  <c r="O100" i="5"/>
  <c r="Q100" i="5" s="1"/>
  <c r="R100" i="5" s="1"/>
  <c r="J100" i="5"/>
  <c r="K100" i="5" s="1"/>
  <c r="I100" i="5"/>
  <c r="O99" i="5"/>
  <c r="Q99" i="5" s="1"/>
  <c r="R99" i="5" s="1"/>
  <c r="J99" i="5"/>
  <c r="K99" i="5" s="1"/>
  <c r="I99" i="5"/>
  <c r="O98" i="5"/>
  <c r="Q98" i="5" s="1"/>
  <c r="R98" i="5" s="1"/>
  <c r="J98" i="5"/>
  <c r="K98" i="5" s="1"/>
  <c r="I98" i="5"/>
  <c r="O97" i="5"/>
  <c r="Q97" i="5" s="1"/>
  <c r="R97" i="5" s="1"/>
  <c r="J97" i="5"/>
  <c r="K97" i="5" s="1"/>
  <c r="I97" i="5"/>
  <c r="O96" i="5"/>
  <c r="Q96" i="5" s="1"/>
  <c r="R96" i="5" s="1"/>
  <c r="J96" i="5"/>
  <c r="K96" i="5" s="1"/>
  <c r="I96" i="5"/>
  <c r="O95" i="5"/>
  <c r="Q95" i="5" s="1"/>
  <c r="R95" i="5" s="1"/>
  <c r="J95" i="5"/>
  <c r="K95" i="5" s="1"/>
  <c r="I95" i="5"/>
  <c r="O94" i="5"/>
  <c r="Q94" i="5" s="1"/>
  <c r="R94" i="5" s="1"/>
  <c r="J94" i="5"/>
  <c r="K94" i="5" s="1"/>
  <c r="I94" i="5"/>
  <c r="O93" i="5"/>
  <c r="Q93" i="5" s="1"/>
  <c r="R93" i="5" s="1"/>
  <c r="J93" i="5"/>
  <c r="K93" i="5" s="1"/>
  <c r="I93" i="5"/>
  <c r="O92" i="5"/>
  <c r="Q92" i="5" s="1"/>
  <c r="R92" i="5" s="1"/>
  <c r="J92" i="5"/>
  <c r="K92" i="5" s="1"/>
  <c r="I92" i="5"/>
  <c r="O91" i="5"/>
  <c r="Q91" i="5" s="1"/>
  <c r="R91" i="5" s="1"/>
  <c r="J91" i="5"/>
  <c r="K91" i="5" s="1"/>
  <c r="I91" i="5"/>
  <c r="O90" i="5"/>
  <c r="Q90" i="5" s="1"/>
  <c r="R90" i="5" s="1"/>
  <c r="J90" i="5"/>
  <c r="K90" i="5" s="1"/>
  <c r="I90" i="5"/>
  <c r="O89" i="5"/>
  <c r="Q89" i="5" s="1"/>
  <c r="R89" i="5" s="1"/>
  <c r="J89" i="5"/>
  <c r="K89" i="5" s="1"/>
  <c r="I89" i="5"/>
  <c r="O88" i="5"/>
  <c r="Q88" i="5" s="1"/>
  <c r="R88" i="5" s="1"/>
  <c r="J88" i="5"/>
  <c r="K88" i="5" s="1"/>
  <c r="I88" i="5"/>
  <c r="O87" i="5"/>
  <c r="Q87" i="5" s="1"/>
  <c r="R87" i="5" s="1"/>
  <c r="J87" i="5"/>
  <c r="K87" i="5" s="1"/>
  <c r="I87" i="5"/>
  <c r="O86" i="5"/>
  <c r="Q86" i="5" s="1"/>
  <c r="R86" i="5" s="1"/>
  <c r="J86" i="5"/>
  <c r="K86" i="5" s="1"/>
  <c r="I86" i="5"/>
  <c r="O85" i="5"/>
  <c r="Q85" i="5" s="1"/>
  <c r="R85" i="5" s="1"/>
  <c r="J85" i="5"/>
  <c r="K85" i="5" s="1"/>
  <c r="I85" i="5"/>
  <c r="O84" i="5"/>
  <c r="Q84" i="5" s="1"/>
  <c r="R84" i="5" s="1"/>
  <c r="J84" i="5"/>
  <c r="K84" i="5" s="1"/>
  <c r="I84" i="5"/>
  <c r="O83" i="5"/>
  <c r="Q83" i="5" s="1"/>
  <c r="R83" i="5" s="1"/>
  <c r="J83" i="5"/>
  <c r="K83" i="5" s="1"/>
  <c r="I83" i="5"/>
  <c r="O82" i="5"/>
  <c r="Q82" i="5" s="1"/>
  <c r="R82" i="5" s="1"/>
  <c r="J82" i="5"/>
  <c r="K82" i="5" s="1"/>
  <c r="I82" i="5"/>
  <c r="O81" i="5"/>
  <c r="Q81" i="5" s="1"/>
  <c r="R81" i="5" s="1"/>
  <c r="J81" i="5"/>
  <c r="I81" i="5"/>
  <c r="I171" i="5" s="1"/>
  <c r="P77" i="5"/>
  <c r="O77" i="5"/>
  <c r="J77" i="5"/>
  <c r="K77" i="5" s="1"/>
  <c r="I77" i="5"/>
  <c r="O76" i="5"/>
  <c r="Q76" i="5" s="1"/>
  <c r="R76" i="5" s="1"/>
  <c r="J76" i="5"/>
  <c r="K76" i="5" s="1"/>
  <c r="I76" i="5"/>
  <c r="O75" i="5"/>
  <c r="Q75" i="5" s="1"/>
  <c r="R75" i="5" s="1"/>
  <c r="J75" i="5"/>
  <c r="K75" i="5" s="1"/>
  <c r="I75" i="5"/>
  <c r="O74" i="5"/>
  <c r="Q74" i="5" s="1"/>
  <c r="R74" i="5" s="1"/>
  <c r="J74" i="5"/>
  <c r="K74" i="5" s="1"/>
  <c r="I74" i="5"/>
  <c r="O73" i="5"/>
  <c r="Q73" i="5" s="1"/>
  <c r="R73" i="5" s="1"/>
  <c r="J73" i="5"/>
  <c r="K73" i="5" s="1"/>
  <c r="I73" i="5"/>
  <c r="O72" i="5"/>
  <c r="Q72" i="5" s="1"/>
  <c r="R72" i="5" s="1"/>
  <c r="J72" i="5"/>
  <c r="K72" i="5" s="1"/>
  <c r="I72" i="5"/>
  <c r="O71" i="5"/>
  <c r="Q71" i="5" s="1"/>
  <c r="R71" i="5" s="1"/>
  <c r="J71" i="5"/>
  <c r="K71" i="5" s="1"/>
  <c r="I71" i="5"/>
  <c r="O70" i="5"/>
  <c r="Q70" i="5" s="1"/>
  <c r="R70" i="5" s="1"/>
  <c r="J70" i="5"/>
  <c r="K70" i="5" s="1"/>
  <c r="I70" i="5"/>
  <c r="O69" i="5"/>
  <c r="Q69" i="5" s="1"/>
  <c r="R69" i="5" s="1"/>
  <c r="J69" i="5"/>
  <c r="K69" i="5" s="1"/>
  <c r="I69" i="5"/>
  <c r="O68" i="5"/>
  <c r="Q68" i="5" s="1"/>
  <c r="R68" i="5" s="1"/>
  <c r="J68" i="5"/>
  <c r="K68" i="5" s="1"/>
  <c r="I68" i="5"/>
  <c r="O67" i="5"/>
  <c r="Q67" i="5" s="1"/>
  <c r="R67" i="5" s="1"/>
  <c r="J67" i="5"/>
  <c r="K67" i="5" s="1"/>
  <c r="I67" i="5"/>
  <c r="O66" i="5"/>
  <c r="Q66" i="5" s="1"/>
  <c r="R66" i="5" s="1"/>
  <c r="J66" i="5"/>
  <c r="K66" i="5" s="1"/>
  <c r="I66" i="5"/>
  <c r="O65" i="5"/>
  <c r="Q65" i="5" s="1"/>
  <c r="R65" i="5" s="1"/>
  <c r="J65" i="5"/>
  <c r="K65" i="5" s="1"/>
  <c r="I65" i="5"/>
  <c r="O64" i="5"/>
  <c r="Q64" i="5" s="1"/>
  <c r="R64" i="5" s="1"/>
  <c r="J64" i="5"/>
  <c r="K64" i="5" s="1"/>
  <c r="I64" i="5"/>
  <c r="O63" i="5"/>
  <c r="Q63" i="5" s="1"/>
  <c r="R63" i="5" s="1"/>
  <c r="J63" i="5"/>
  <c r="K63" i="5" s="1"/>
  <c r="I63" i="5"/>
  <c r="O62" i="5"/>
  <c r="Q62" i="5" s="1"/>
  <c r="R62" i="5" s="1"/>
  <c r="J62" i="5"/>
  <c r="I62" i="5"/>
  <c r="I166" i="5" s="1"/>
  <c r="O55" i="5"/>
  <c r="Q55" i="5" s="1"/>
  <c r="R55" i="5" s="1"/>
  <c r="J55" i="5"/>
  <c r="K55" i="5" s="1"/>
  <c r="I55" i="5"/>
  <c r="O54" i="5"/>
  <c r="Q54" i="5" s="1"/>
  <c r="R54" i="5" s="1"/>
  <c r="J54" i="5"/>
  <c r="K54" i="5" s="1"/>
  <c r="I54" i="5"/>
  <c r="O53" i="5"/>
  <c r="Q53" i="5" s="1"/>
  <c r="R53" i="5" s="1"/>
  <c r="J53" i="5"/>
  <c r="K53" i="5" s="1"/>
  <c r="I53" i="5"/>
  <c r="O52" i="5"/>
  <c r="Q52" i="5" s="1"/>
  <c r="R52" i="5" s="1"/>
  <c r="J52" i="5"/>
  <c r="K52" i="5" s="1"/>
  <c r="I52" i="5"/>
  <c r="O51" i="5"/>
  <c r="Q51" i="5" s="1"/>
  <c r="R51" i="5" s="1"/>
  <c r="J51" i="5"/>
  <c r="K51" i="5" s="1"/>
  <c r="I51" i="5"/>
  <c r="O50" i="5"/>
  <c r="Q50" i="5" s="1"/>
  <c r="R50" i="5" s="1"/>
  <c r="J50" i="5"/>
  <c r="K50" i="5" s="1"/>
  <c r="I50" i="5"/>
  <c r="O49" i="5"/>
  <c r="Q49" i="5" s="1"/>
  <c r="R49" i="5" s="1"/>
  <c r="J49" i="5"/>
  <c r="K49" i="5" s="1"/>
  <c r="I49" i="5"/>
  <c r="O48" i="5"/>
  <c r="Q48" i="5" s="1"/>
  <c r="R48" i="5" s="1"/>
  <c r="J48" i="5"/>
  <c r="K48" i="5" s="1"/>
  <c r="I48" i="5"/>
  <c r="O47" i="5"/>
  <c r="Q47" i="5" s="1"/>
  <c r="R47" i="5" s="1"/>
  <c r="J47" i="5"/>
  <c r="K47" i="5" s="1"/>
  <c r="I47" i="5"/>
  <c r="O46" i="5"/>
  <c r="Q46" i="5" s="1"/>
  <c r="R46" i="5" s="1"/>
  <c r="J46" i="5"/>
  <c r="K46" i="5" s="1"/>
  <c r="I46" i="5"/>
  <c r="O45" i="5"/>
  <c r="Q45" i="5" s="1"/>
  <c r="R45" i="5" s="1"/>
  <c r="J45" i="5"/>
  <c r="K45" i="5" s="1"/>
  <c r="I45" i="5"/>
  <c r="O44" i="5"/>
  <c r="Q44" i="5" s="1"/>
  <c r="R44" i="5" s="1"/>
  <c r="J44" i="5"/>
  <c r="K44" i="5" s="1"/>
  <c r="I44" i="5"/>
  <c r="O43" i="5"/>
  <c r="Q43" i="5" s="1"/>
  <c r="R43" i="5" s="1"/>
  <c r="J43" i="5"/>
  <c r="K43" i="5" s="1"/>
  <c r="I43" i="5"/>
  <c r="O42" i="5"/>
  <c r="Q42" i="5" s="1"/>
  <c r="R42" i="5" s="1"/>
  <c r="J42" i="5"/>
  <c r="K42" i="5" s="1"/>
  <c r="I42" i="5"/>
  <c r="O41" i="5"/>
  <c r="Q41" i="5" s="1"/>
  <c r="R41" i="5" s="1"/>
  <c r="J41" i="5"/>
  <c r="K41" i="5" s="1"/>
  <c r="I41" i="5"/>
  <c r="O40" i="5"/>
  <c r="Q40" i="5" s="1"/>
  <c r="R40" i="5" s="1"/>
  <c r="J40" i="5"/>
  <c r="K40" i="5" s="1"/>
  <c r="I40" i="5"/>
  <c r="O39" i="5"/>
  <c r="Q39" i="5" s="1"/>
  <c r="R39" i="5" s="1"/>
  <c r="J39" i="5"/>
  <c r="K39" i="5" s="1"/>
  <c r="I39" i="5"/>
  <c r="O38" i="5"/>
  <c r="Q38" i="5" s="1"/>
  <c r="R38" i="5" s="1"/>
  <c r="J38" i="5"/>
  <c r="K38" i="5" s="1"/>
  <c r="I38" i="5"/>
  <c r="O37" i="5"/>
  <c r="Q37" i="5" s="1"/>
  <c r="R37" i="5" s="1"/>
  <c r="J37" i="5"/>
  <c r="K37" i="5" s="1"/>
  <c r="I37" i="5"/>
  <c r="O36" i="5"/>
  <c r="Q36" i="5" s="1"/>
  <c r="R36" i="5" s="1"/>
  <c r="J36" i="5"/>
  <c r="K36" i="5" s="1"/>
  <c r="I36" i="5"/>
  <c r="O35" i="5"/>
  <c r="Q35" i="5" s="1"/>
  <c r="R35" i="5" s="1"/>
  <c r="J35" i="5"/>
  <c r="K35" i="5" s="1"/>
  <c r="I35" i="5"/>
  <c r="O34" i="5"/>
  <c r="Q34" i="5" s="1"/>
  <c r="R34" i="5" s="1"/>
  <c r="J34" i="5"/>
  <c r="K34" i="5" s="1"/>
  <c r="I34" i="5"/>
  <c r="O33" i="5"/>
  <c r="Q33" i="5" s="1"/>
  <c r="R33" i="5" s="1"/>
  <c r="J33" i="5"/>
  <c r="K33" i="5" s="1"/>
  <c r="I33" i="5"/>
  <c r="O32" i="5"/>
  <c r="Q32" i="5" s="1"/>
  <c r="R32" i="5" s="1"/>
  <c r="J32" i="5"/>
  <c r="K32" i="5" s="1"/>
  <c r="I32" i="5"/>
  <c r="O31" i="5"/>
  <c r="Q31" i="5" s="1"/>
  <c r="R31" i="5" s="1"/>
  <c r="J31" i="5"/>
  <c r="K31" i="5" s="1"/>
  <c r="I31" i="5"/>
  <c r="O30" i="5"/>
  <c r="Q30" i="5" s="1"/>
  <c r="R30" i="5" s="1"/>
  <c r="J30" i="5"/>
  <c r="K30" i="5" s="1"/>
  <c r="I30" i="5"/>
  <c r="O29" i="5"/>
  <c r="Q29" i="5" s="1"/>
  <c r="R29" i="5" s="1"/>
  <c r="J29" i="5"/>
  <c r="K29" i="5" s="1"/>
  <c r="I29" i="5"/>
  <c r="O28" i="5"/>
  <c r="Q28" i="5" s="1"/>
  <c r="R28" i="5" s="1"/>
  <c r="J28" i="5"/>
  <c r="K28" i="5" s="1"/>
  <c r="I28" i="5"/>
  <c r="O27" i="5"/>
  <c r="Q27" i="5" s="1"/>
  <c r="R27" i="5" s="1"/>
  <c r="J27" i="5"/>
  <c r="K27" i="5" s="1"/>
  <c r="I27" i="5"/>
  <c r="O26" i="5"/>
  <c r="Q26" i="5" s="1"/>
  <c r="R26" i="5" s="1"/>
  <c r="J26" i="5"/>
  <c r="K26" i="5" s="1"/>
  <c r="I26" i="5"/>
  <c r="O25" i="5"/>
  <c r="Q25" i="5" s="1"/>
  <c r="R25" i="5" s="1"/>
  <c r="J25" i="5"/>
  <c r="K25" i="5" s="1"/>
  <c r="I25" i="5"/>
  <c r="O24" i="5"/>
  <c r="Q24" i="5" s="1"/>
  <c r="R24" i="5" s="1"/>
  <c r="J24" i="5"/>
  <c r="K24" i="5" s="1"/>
  <c r="I24" i="5"/>
  <c r="O23" i="5"/>
  <c r="Q23" i="5" s="1"/>
  <c r="R23" i="5" s="1"/>
  <c r="J23" i="5"/>
  <c r="K23" i="5" s="1"/>
  <c r="I23" i="5"/>
  <c r="O22" i="5"/>
  <c r="Q22" i="5" s="1"/>
  <c r="R22" i="5" s="1"/>
  <c r="J22" i="5"/>
  <c r="K22" i="5" s="1"/>
  <c r="I22" i="5"/>
  <c r="P18" i="5"/>
  <c r="O18" i="5"/>
  <c r="J18" i="5"/>
  <c r="K18" i="5" s="1"/>
  <c r="I18" i="5"/>
  <c r="O17" i="5"/>
  <c r="Q17" i="5" s="1"/>
  <c r="R17" i="5" s="1"/>
  <c r="J17" i="5"/>
  <c r="K17" i="5" s="1"/>
  <c r="I17" i="5"/>
  <c r="O16" i="5"/>
  <c r="Q16" i="5" s="1"/>
  <c r="R16" i="5" s="1"/>
  <c r="J16" i="5"/>
  <c r="K16" i="5" s="1"/>
  <c r="I16" i="5"/>
  <c r="O15" i="5"/>
  <c r="Q15" i="5" s="1"/>
  <c r="R15" i="5" s="1"/>
  <c r="J15" i="5"/>
  <c r="K15" i="5" s="1"/>
  <c r="I15" i="5"/>
  <c r="O14" i="5"/>
  <c r="Q14" i="5" s="1"/>
  <c r="R14" i="5" s="1"/>
  <c r="J14" i="5"/>
  <c r="K14" i="5" s="1"/>
  <c r="I14" i="5"/>
  <c r="O13" i="5"/>
  <c r="Q13" i="5" s="1"/>
  <c r="R13" i="5" s="1"/>
  <c r="J13" i="5"/>
  <c r="K13" i="5" s="1"/>
  <c r="I13" i="5"/>
  <c r="O12" i="5"/>
  <c r="Q12" i="5" s="1"/>
  <c r="R12" i="5" s="1"/>
  <c r="J12" i="5"/>
  <c r="K12" i="5" s="1"/>
  <c r="I12" i="5"/>
  <c r="O11" i="5"/>
  <c r="Q11" i="5" s="1"/>
  <c r="R11" i="5" s="1"/>
  <c r="J11" i="5"/>
  <c r="K11" i="5" s="1"/>
  <c r="I11" i="5"/>
  <c r="O10" i="5"/>
  <c r="Q10" i="5" s="1"/>
  <c r="R10" i="5" s="1"/>
  <c r="J10" i="5"/>
  <c r="K10" i="5" s="1"/>
  <c r="I10" i="5"/>
  <c r="O9" i="5"/>
  <c r="Q9" i="5" s="1"/>
  <c r="R9" i="5" s="1"/>
  <c r="J9" i="5"/>
  <c r="K9" i="5" s="1"/>
  <c r="I9" i="5"/>
  <c r="O8" i="5"/>
  <c r="Q8" i="5" s="1"/>
  <c r="R8" i="5" s="1"/>
  <c r="J8" i="5"/>
  <c r="K8" i="5" s="1"/>
  <c r="I8" i="5"/>
  <c r="O7" i="5"/>
  <c r="Q7" i="5" s="1"/>
  <c r="R7" i="5" s="1"/>
  <c r="J7" i="5"/>
  <c r="K7" i="5" s="1"/>
  <c r="I7" i="5"/>
  <c r="O6" i="5"/>
  <c r="Q6" i="5" s="1"/>
  <c r="R6" i="5" s="1"/>
  <c r="J6" i="5"/>
  <c r="K6" i="5" s="1"/>
  <c r="I6" i="5"/>
  <c r="O5" i="5"/>
  <c r="Q5" i="5" s="1"/>
  <c r="R5" i="5" s="1"/>
  <c r="J5" i="5"/>
  <c r="K5" i="5" s="1"/>
  <c r="I5" i="5"/>
  <c r="O4" i="5"/>
  <c r="Q4" i="5" s="1"/>
  <c r="R4" i="5" s="1"/>
  <c r="J4" i="5"/>
  <c r="K4" i="5" s="1"/>
  <c r="I4" i="5"/>
  <c r="O3" i="5"/>
  <c r="Q3" i="5" s="1"/>
  <c r="R3" i="5" s="1"/>
  <c r="J3" i="5"/>
  <c r="K3" i="5" s="1"/>
  <c r="I3" i="5"/>
  <c r="H51" i="4"/>
  <c r="H50" i="4"/>
  <c r="H46" i="4"/>
  <c r="H56" i="4" s="1"/>
  <c r="H45" i="4"/>
  <c r="H55" i="4" s="1"/>
  <c r="O37" i="4"/>
  <c r="Q37" i="4" s="1"/>
  <c r="R37" i="4" s="1"/>
  <c r="J37" i="4"/>
  <c r="K37" i="4" s="1"/>
  <c r="I37" i="4"/>
  <c r="O36" i="4"/>
  <c r="Q36" i="4" s="1"/>
  <c r="R36" i="4" s="1"/>
  <c r="J36" i="4"/>
  <c r="K36" i="4" s="1"/>
  <c r="I36" i="4"/>
  <c r="O35" i="4"/>
  <c r="Q35" i="4" s="1"/>
  <c r="R35" i="4" s="1"/>
  <c r="J35" i="4"/>
  <c r="K35" i="4" s="1"/>
  <c r="I35" i="4"/>
  <c r="O34" i="4"/>
  <c r="Q34" i="4" s="1"/>
  <c r="R34" i="4" s="1"/>
  <c r="J34" i="4"/>
  <c r="K34" i="4" s="1"/>
  <c r="I34" i="4"/>
  <c r="O33" i="4"/>
  <c r="Q33" i="4" s="1"/>
  <c r="R33" i="4" s="1"/>
  <c r="J33" i="4"/>
  <c r="K33" i="4" s="1"/>
  <c r="I33" i="4"/>
  <c r="O32" i="4"/>
  <c r="Q32" i="4" s="1"/>
  <c r="R32" i="4" s="1"/>
  <c r="J32" i="4"/>
  <c r="K32" i="4" s="1"/>
  <c r="I32" i="4"/>
  <c r="O31" i="4"/>
  <c r="Q31" i="4" s="1"/>
  <c r="R31" i="4" s="1"/>
  <c r="J31" i="4"/>
  <c r="K31" i="4" s="1"/>
  <c r="I31" i="4"/>
  <c r="O30" i="4"/>
  <c r="Q30" i="4" s="1"/>
  <c r="R30" i="4" s="1"/>
  <c r="J30" i="4"/>
  <c r="K30" i="4" s="1"/>
  <c r="I30" i="4"/>
  <c r="O29" i="4"/>
  <c r="Q29" i="4" s="1"/>
  <c r="R29" i="4" s="1"/>
  <c r="J29" i="4"/>
  <c r="K29" i="4" s="1"/>
  <c r="I29" i="4"/>
  <c r="O28" i="4"/>
  <c r="Q28" i="4" s="1"/>
  <c r="R28" i="4" s="1"/>
  <c r="J28" i="4"/>
  <c r="K28" i="4" s="1"/>
  <c r="I28" i="4"/>
  <c r="O27" i="4"/>
  <c r="Q27" i="4" s="1"/>
  <c r="R27" i="4" s="1"/>
  <c r="J27" i="4"/>
  <c r="K27" i="4" s="1"/>
  <c r="I27" i="4"/>
  <c r="O26" i="4"/>
  <c r="Q26" i="4" s="1"/>
  <c r="R26" i="4" s="1"/>
  <c r="J26" i="4"/>
  <c r="K26" i="4" s="1"/>
  <c r="I26" i="4"/>
  <c r="O25" i="4"/>
  <c r="Q25" i="4" s="1"/>
  <c r="R25" i="4" s="1"/>
  <c r="J25" i="4"/>
  <c r="K25" i="4" s="1"/>
  <c r="I25" i="4"/>
  <c r="O24" i="4"/>
  <c r="Q24" i="4" s="1"/>
  <c r="R24" i="4" s="1"/>
  <c r="J24" i="4"/>
  <c r="K24" i="4" s="1"/>
  <c r="I24" i="4"/>
  <c r="O23" i="4"/>
  <c r="Q23" i="4" s="1"/>
  <c r="R23" i="4" s="1"/>
  <c r="J23" i="4"/>
  <c r="K23" i="4" s="1"/>
  <c r="I23" i="4"/>
  <c r="O22" i="4"/>
  <c r="Q22" i="4" s="1"/>
  <c r="R22" i="4" s="1"/>
  <c r="J22" i="4"/>
  <c r="K22" i="4" s="1"/>
  <c r="I22" i="4"/>
  <c r="O21" i="4"/>
  <c r="Q21" i="4" s="1"/>
  <c r="R21" i="4" s="1"/>
  <c r="J21" i="4"/>
  <c r="K21" i="4" s="1"/>
  <c r="I21" i="4"/>
  <c r="O20" i="4"/>
  <c r="Q20" i="4" s="1"/>
  <c r="R20" i="4" s="1"/>
  <c r="J20" i="4"/>
  <c r="K20" i="4" s="1"/>
  <c r="I20" i="4"/>
  <c r="O19" i="4"/>
  <c r="Q19" i="4" s="1"/>
  <c r="R19" i="4" s="1"/>
  <c r="J19" i="4"/>
  <c r="K19" i="4" s="1"/>
  <c r="I19" i="4"/>
  <c r="O18" i="4"/>
  <c r="Q18" i="4" s="1"/>
  <c r="R18" i="4" s="1"/>
  <c r="J18" i="4"/>
  <c r="K18" i="4" s="1"/>
  <c r="I18" i="4"/>
  <c r="O17" i="4"/>
  <c r="Q17" i="4" s="1"/>
  <c r="R17" i="4" s="1"/>
  <c r="J17" i="4"/>
  <c r="K17" i="4" s="1"/>
  <c r="I17" i="4"/>
  <c r="O16" i="4"/>
  <c r="Q16" i="4" s="1"/>
  <c r="R16" i="4" s="1"/>
  <c r="J16" i="4"/>
  <c r="K16" i="4" s="1"/>
  <c r="I16" i="4"/>
  <c r="O15" i="4"/>
  <c r="Q15" i="4" s="1"/>
  <c r="R15" i="4" s="1"/>
  <c r="J15" i="4"/>
  <c r="K15" i="4" s="1"/>
  <c r="I15" i="4"/>
  <c r="O14" i="4"/>
  <c r="Q14" i="4" s="1"/>
  <c r="R14" i="4" s="1"/>
  <c r="J14" i="4"/>
  <c r="K14" i="4" s="1"/>
  <c r="I14" i="4"/>
  <c r="O13" i="4"/>
  <c r="Q13" i="4" s="1"/>
  <c r="R13" i="4" s="1"/>
  <c r="J13" i="4"/>
  <c r="K13" i="4" s="1"/>
  <c r="I13" i="4"/>
  <c r="O12" i="4"/>
  <c r="Q12" i="4" s="1"/>
  <c r="R12" i="4" s="1"/>
  <c r="J12" i="4"/>
  <c r="K12" i="4" s="1"/>
  <c r="I12" i="4"/>
  <c r="O11" i="4"/>
  <c r="Q11" i="4" s="1"/>
  <c r="R11" i="4" s="1"/>
  <c r="J11" i="4"/>
  <c r="K11" i="4" s="1"/>
  <c r="I11" i="4"/>
  <c r="O10" i="4"/>
  <c r="Q10" i="4" s="1"/>
  <c r="R10" i="4" s="1"/>
  <c r="J10" i="4"/>
  <c r="K10" i="4" s="1"/>
  <c r="I10" i="4"/>
  <c r="O9" i="4"/>
  <c r="Q9" i="4" s="1"/>
  <c r="R9" i="4" s="1"/>
  <c r="J9" i="4"/>
  <c r="I9" i="4"/>
  <c r="I48" i="4" s="1"/>
  <c r="O6" i="4"/>
  <c r="Q6" i="4" s="1"/>
  <c r="R6" i="4" s="1"/>
  <c r="J6" i="4"/>
  <c r="K6" i="4" s="1"/>
  <c r="I6" i="4"/>
  <c r="O5" i="4"/>
  <c r="Q5" i="4" s="1"/>
  <c r="R5" i="4" s="1"/>
  <c r="J5" i="4"/>
  <c r="K5" i="4" s="1"/>
  <c r="I5" i="4"/>
  <c r="O4" i="4"/>
  <c r="Q4" i="4" s="1"/>
  <c r="R4" i="4" s="1"/>
  <c r="J4" i="4"/>
  <c r="K4" i="4" s="1"/>
  <c r="I4" i="4"/>
  <c r="O3" i="4"/>
  <c r="Q3" i="4" s="1"/>
  <c r="R3" i="4" s="1"/>
  <c r="J3" i="4"/>
  <c r="I3" i="4"/>
  <c r="I43" i="4" s="1"/>
  <c r="I53" i="4" s="1"/>
  <c r="G142" i="3"/>
  <c r="H140" i="3"/>
  <c r="G140" i="3"/>
  <c r="H138" i="3"/>
  <c r="G138" i="3"/>
  <c r="H136" i="3"/>
  <c r="H142" i="3" s="1"/>
  <c r="G136" i="3"/>
  <c r="F69" i="3"/>
  <c r="F132" i="3" s="1"/>
  <c r="A69" i="3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6" i="3" s="1"/>
  <c r="A138" i="3" s="1"/>
  <c r="A140" i="3" s="1"/>
  <c r="A142" i="3" s="1"/>
  <c r="H66" i="3"/>
  <c r="G66" i="3"/>
  <c r="F3" i="3"/>
  <c r="F66" i="3" s="1"/>
  <c r="H108" i="2"/>
  <c r="I108" i="2" s="1"/>
  <c r="H107" i="2"/>
  <c r="H106" i="2"/>
  <c r="I106" i="2" s="1"/>
  <c r="F105" i="2"/>
  <c r="H105" i="2" s="1"/>
  <c r="H104" i="2"/>
  <c r="H103" i="2"/>
  <c r="H102" i="2"/>
  <c r="I102" i="2" s="1"/>
  <c r="F101" i="2"/>
  <c r="H101" i="2" s="1"/>
  <c r="I101" i="2" s="1"/>
  <c r="V97" i="2"/>
  <c r="T97" i="2"/>
  <c r="S97" i="2"/>
  <c r="R97" i="2"/>
  <c r="Q97" i="2"/>
  <c r="H97" i="2"/>
  <c r="E97" i="2"/>
  <c r="I97" i="2" s="1"/>
  <c r="K97" i="2" s="1"/>
  <c r="V96" i="2"/>
  <c r="T96" i="2"/>
  <c r="S96" i="2"/>
  <c r="R96" i="2"/>
  <c r="Q96" i="2"/>
  <c r="H96" i="2"/>
  <c r="E96" i="2"/>
  <c r="I96" i="2" s="1"/>
  <c r="K96" i="2" s="1"/>
  <c r="V95" i="2"/>
  <c r="T95" i="2"/>
  <c r="S95" i="2"/>
  <c r="R95" i="2"/>
  <c r="Q95" i="2"/>
  <c r="H95" i="2"/>
  <c r="E95" i="2"/>
  <c r="I95" i="2" s="1"/>
  <c r="K95" i="2" s="1"/>
  <c r="V94" i="2"/>
  <c r="T94" i="2"/>
  <c r="S94" i="2"/>
  <c r="R94" i="2"/>
  <c r="P94" i="2"/>
  <c r="Q94" i="2" s="1"/>
  <c r="H94" i="2"/>
  <c r="E94" i="2"/>
  <c r="I94" i="2" s="1"/>
  <c r="K94" i="2" s="1"/>
  <c r="V93" i="2"/>
  <c r="T93" i="2"/>
  <c r="S93" i="2"/>
  <c r="R93" i="2"/>
  <c r="Q93" i="2"/>
  <c r="P93" i="2"/>
  <c r="H93" i="2"/>
  <c r="E93" i="2"/>
  <c r="I93" i="2" s="1"/>
  <c r="K93" i="2" s="1"/>
  <c r="W92" i="2"/>
  <c r="V92" i="2"/>
  <c r="T92" i="2"/>
  <c r="S92" i="2"/>
  <c r="R92" i="2"/>
  <c r="P92" i="2"/>
  <c r="Q92" i="2" s="1"/>
  <c r="H92" i="2"/>
  <c r="E92" i="2"/>
  <c r="I92" i="2" s="1"/>
  <c r="K92" i="2" s="1"/>
  <c r="Y91" i="2"/>
  <c r="AB91" i="2" s="1"/>
  <c r="W91" i="2"/>
  <c r="V91" i="2"/>
  <c r="T91" i="2"/>
  <c r="S91" i="2"/>
  <c r="R91" i="2"/>
  <c r="Q91" i="2"/>
  <c r="E88" i="2"/>
  <c r="E87" i="2"/>
  <c r="Y82" i="2"/>
  <c r="X82" i="2"/>
  <c r="W82" i="2"/>
  <c r="V82" i="2"/>
  <c r="U82" i="2"/>
  <c r="Y81" i="2"/>
  <c r="X81" i="2"/>
  <c r="W81" i="2"/>
  <c r="V81" i="2"/>
  <c r="U81" i="2"/>
  <c r="Y80" i="2"/>
  <c r="X80" i="2"/>
  <c r="W80" i="2"/>
  <c r="V80" i="2"/>
  <c r="U80" i="2"/>
  <c r="Y77" i="2"/>
  <c r="X77" i="2"/>
  <c r="W77" i="2"/>
  <c r="V77" i="2"/>
  <c r="U77" i="2"/>
  <c r="I77" i="2"/>
  <c r="Y76" i="2"/>
  <c r="X76" i="2"/>
  <c r="W76" i="2"/>
  <c r="V76" i="2"/>
  <c r="U76" i="2"/>
  <c r="L76" i="2"/>
  <c r="Y75" i="2"/>
  <c r="X75" i="2"/>
  <c r="W75" i="2"/>
  <c r="V75" i="2"/>
  <c r="U75" i="2"/>
  <c r="L75" i="2"/>
  <c r="Y74" i="2"/>
  <c r="X74" i="2"/>
  <c r="W74" i="2"/>
  <c r="V74" i="2"/>
  <c r="U74" i="2"/>
  <c r="L74" i="2"/>
  <c r="P74" i="2" s="1"/>
  <c r="Y73" i="2"/>
  <c r="X73" i="2"/>
  <c r="W73" i="2"/>
  <c r="V73" i="2"/>
  <c r="U73" i="2"/>
  <c r="L73" i="2"/>
  <c r="P73" i="2" s="1"/>
  <c r="Y72" i="2"/>
  <c r="X72" i="2"/>
  <c r="W72" i="2"/>
  <c r="V72" i="2"/>
  <c r="U72" i="2"/>
  <c r="L72" i="2"/>
  <c r="P72" i="2" s="1"/>
  <c r="Y71" i="2"/>
  <c r="X71" i="2"/>
  <c r="W71" i="2"/>
  <c r="V71" i="2"/>
  <c r="U71" i="2"/>
  <c r="L71" i="2"/>
  <c r="P71" i="2" s="1"/>
  <c r="Y70" i="2"/>
  <c r="X70" i="2"/>
  <c r="W70" i="2"/>
  <c r="V70" i="2"/>
  <c r="U70" i="2"/>
  <c r="L70" i="2"/>
  <c r="P70" i="2" s="1"/>
  <c r="A70" i="2"/>
  <c r="A71" i="2" s="1"/>
  <c r="A72" i="2" s="1"/>
  <c r="A73" i="2" s="1"/>
  <c r="A74" i="2" s="1"/>
  <c r="A75" i="2" s="1"/>
  <c r="A76" i="2" s="1"/>
  <c r="A77" i="2" s="1"/>
  <c r="A81" i="2" s="1"/>
  <c r="A82" i="2" s="1"/>
  <c r="A86" i="2" s="1"/>
  <c r="A87" i="2" s="1"/>
  <c r="A88" i="2" s="1"/>
  <c r="A92" i="2" s="1"/>
  <c r="A93" i="2" s="1"/>
  <c r="A94" i="2" s="1"/>
  <c r="A95" i="2" s="1"/>
  <c r="A96" i="2" s="1"/>
  <c r="A97" i="2" s="1"/>
  <c r="Y69" i="2"/>
  <c r="X69" i="2"/>
  <c r="W69" i="2"/>
  <c r="V69" i="2"/>
  <c r="U69" i="2"/>
  <c r="Y66" i="2"/>
  <c r="X66" i="2"/>
  <c r="W66" i="2"/>
  <c r="V66" i="2"/>
  <c r="U66" i="2"/>
  <c r="L66" i="2"/>
  <c r="P66" i="2" s="1"/>
  <c r="Y65" i="2"/>
  <c r="X65" i="2"/>
  <c r="W65" i="2"/>
  <c r="V65" i="2"/>
  <c r="U65" i="2"/>
  <c r="L65" i="2"/>
  <c r="P65" i="2" s="1"/>
  <c r="Y64" i="2"/>
  <c r="X64" i="2"/>
  <c r="W64" i="2"/>
  <c r="V64" i="2"/>
  <c r="U64" i="2"/>
  <c r="L64" i="2"/>
  <c r="P64" i="2" s="1"/>
  <c r="Y63" i="2"/>
  <c r="X63" i="2"/>
  <c r="W63" i="2"/>
  <c r="V63" i="2"/>
  <c r="U63" i="2"/>
  <c r="L63" i="2"/>
  <c r="P63" i="2" s="1"/>
  <c r="Y62" i="2"/>
  <c r="X62" i="2"/>
  <c r="W62" i="2"/>
  <c r="V62" i="2"/>
  <c r="U62" i="2"/>
  <c r="L62" i="2"/>
  <c r="P62" i="2" s="1"/>
  <c r="Y61" i="2"/>
  <c r="X61" i="2"/>
  <c r="W61" i="2"/>
  <c r="V61" i="2"/>
  <c r="U61" i="2"/>
  <c r="L61" i="2"/>
  <c r="P61" i="2" s="1"/>
  <c r="Y60" i="2"/>
  <c r="X60" i="2"/>
  <c r="W60" i="2"/>
  <c r="V60" i="2"/>
  <c r="U60" i="2"/>
  <c r="L60" i="2"/>
  <c r="P60" i="2" s="1"/>
  <c r="Y59" i="2"/>
  <c r="X59" i="2"/>
  <c r="W59" i="2"/>
  <c r="V59" i="2"/>
  <c r="U59" i="2"/>
  <c r="L59" i="2"/>
  <c r="P59" i="2" s="1"/>
  <c r="Y58" i="2"/>
  <c r="X58" i="2"/>
  <c r="W58" i="2"/>
  <c r="V58" i="2"/>
  <c r="U58" i="2"/>
  <c r="L58" i="2"/>
  <c r="P58" i="2" s="1"/>
  <c r="Y57" i="2"/>
  <c r="X57" i="2"/>
  <c r="W57" i="2"/>
  <c r="V57" i="2"/>
  <c r="U57" i="2"/>
  <c r="L57" i="2"/>
  <c r="P57" i="2" s="1"/>
  <c r="Y56" i="2"/>
  <c r="X56" i="2"/>
  <c r="W56" i="2"/>
  <c r="V56" i="2"/>
  <c r="U56" i="2"/>
  <c r="L56" i="2"/>
  <c r="P56" i="2" s="1"/>
  <c r="Y55" i="2"/>
  <c r="X55" i="2"/>
  <c r="W55" i="2"/>
  <c r="V55" i="2"/>
  <c r="U55" i="2"/>
  <c r="L55" i="2"/>
  <c r="P55" i="2" s="1"/>
  <c r="Y54" i="2"/>
  <c r="X54" i="2"/>
  <c r="W54" i="2"/>
  <c r="V54" i="2"/>
  <c r="U54" i="2"/>
  <c r="L54" i="2"/>
  <c r="P54" i="2" s="1"/>
  <c r="Y53" i="2"/>
  <c r="X53" i="2"/>
  <c r="W53" i="2"/>
  <c r="V53" i="2"/>
  <c r="U53" i="2"/>
  <c r="L53" i="2"/>
  <c r="P53" i="2" s="1"/>
  <c r="Y52" i="2"/>
  <c r="X52" i="2"/>
  <c r="W52" i="2"/>
  <c r="V52" i="2"/>
  <c r="U52" i="2"/>
  <c r="L52" i="2"/>
  <c r="P52" i="2" s="1"/>
  <c r="Y51" i="2"/>
  <c r="X51" i="2"/>
  <c r="W51" i="2"/>
  <c r="V51" i="2"/>
  <c r="U51" i="2"/>
  <c r="L51" i="2"/>
  <c r="P51" i="2" s="1"/>
  <c r="Y50" i="2"/>
  <c r="X50" i="2"/>
  <c r="W50" i="2"/>
  <c r="V50" i="2"/>
  <c r="U50" i="2"/>
  <c r="L50" i="2"/>
  <c r="P50" i="2" s="1"/>
  <c r="Y49" i="2"/>
  <c r="X49" i="2"/>
  <c r="W49" i="2"/>
  <c r="V49" i="2"/>
  <c r="U49" i="2"/>
  <c r="L49" i="2"/>
  <c r="P49" i="2" s="1"/>
  <c r="Y48" i="2"/>
  <c r="X48" i="2"/>
  <c r="W48" i="2"/>
  <c r="V48" i="2"/>
  <c r="U48" i="2"/>
  <c r="L48" i="2"/>
  <c r="P48" i="2" s="1"/>
  <c r="Y47" i="2"/>
  <c r="X47" i="2"/>
  <c r="W47" i="2"/>
  <c r="V47" i="2"/>
  <c r="U47" i="2"/>
  <c r="L47" i="2"/>
  <c r="P47" i="2" s="1"/>
  <c r="Y46" i="2"/>
  <c r="X46" i="2"/>
  <c r="W46" i="2"/>
  <c r="V46" i="2"/>
  <c r="U46" i="2"/>
  <c r="L46" i="2"/>
  <c r="P46" i="2" s="1"/>
  <c r="Y45" i="2"/>
  <c r="X45" i="2"/>
  <c r="W45" i="2"/>
  <c r="V45" i="2"/>
  <c r="U45" i="2"/>
  <c r="L45" i="2"/>
  <c r="P45" i="2" s="1"/>
  <c r="Y44" i="2"/>
  <c r="X44" i="2"/>
  <c r="W44" i="2"/>
  <c r="V44" i="2"/>
  <c r="U44" i="2"/>
  <c r="L44" i="2"/>
  <c r="P44" i="2" s="1"/>
  <c r="Y43" i="2"/>
  <c r="X43" i="2"/>
  <c r="W43" i="2"/>
  <c r="V43" i="2"/>
  <c r="U43" i="2"/>
  <c r="L43" i="2"/>
  <c r="P43" i="2" s="1"/>
  <c r="Y42" i="2"/>
  <c r="X42" i="2"/>
  <c r="W42" i="2"/>
  <c r="V42" i="2"/>
  <c r="U42" i="2"/>
  <c r="L42" i="2"/>
  <c r="P42" i="2" s="1"/>
  <c r="Y41" i="2"/>
  <c r="X41" i="2"/>
  <c r="W41" i="2"/>
  <c r="V41" i="2"/>
  <c r="U41" i="2"/>
  <c r="L41" i="2"/>
  <c r="P41" i="2" s="1"/>
  <c r="Y40" i="2"/>
  <c r="X40" i="2"/>
  <c r="W40" i="2"/>
  <c r="V40" i="2"/>
  <c r="U40" i="2"/>
  <c r="L40" i="2"/>
  <c r="P40" i="2" s="1"/>
  <c r="Y39" i="2"/>
  <c r="X39" i="2"/>
  <c r="W39" i="2"/>
  <c r="V39" i="2"/>
  <c r="U39" i="2"/>
  <c r="L39" i="2"/>
  <c r="P39" i="2" s="1"/>
  <c r="Y38" i="2"/>
  <c r="X38" i="2"/>
  <c r="W38" i="2"/>
  <c r="V38" i="2"/>
  <c r="U38" i="2"/>
  <c r="L38" i="2"/>
  <c r="P38" i="2" s="1"/>
  <c r="Y37" i="2"/>
  <c r="X37" i="2"/>
  <c r="W37" i="2"/>
  <c r="V37" i="2"/>
  <c r="U37" i="2"/>
  <c r="L37" i="2"/>
  <c r="P37" i="2" s="1"/>
  <c r="Y36" i="2"/>
  <c r="X36" i="2"/>
  <c r="W36" i="2"/>
  <c r="V36" i="2"/>
  <c r="U36" i="2"/>
  <c r="L36" i="2"/>
  <c r="P36" i="2" s="1"/>
  <c r="Y35" i="2"/>
  <c r="X35" i="2"/>
  <c r="W35" i="2"/>
  <c r="V35" i="2"/>
  <c r="U35" i="2"/>
  <c r="L35" i="2"/>
  <c r="P35" i="2" s="1"/>
  <c r="Y34" i="2"/>
  <c r="X34" i="2"/>
  <c r="W34" i="2"/>
  <c r="V34" i="2"/>
  <c r="U34" i="2"/>
  <c r="L34" i="2"/>
  <c r="P34" i="2" s="1"/>
  <c r="Y33" i="2"/>
  <c r="X33" i="2"/>
  <c r="W33" i="2"/>
  <c r="V33" i="2"/>
  <c r="U33" i="2"/>
  <c r="L33" i="2"/>
  <c r="P33" i="2" s="1"/>
  <c r="Y32" i="2"/>
  <c r="X32" i="2"/>
  <c r="W32" i="2"/>
  <c r="V32" i="2"/>
  <c r="U32" i="2"/>
  <c r="L32" i="2"/>
  <c r="P32" i="2" s="1"/>
  <c r="Y31" i="2"/>
  <c r="X31" i="2"/>
  <c r="W31" i="2"/>
  <c r="V31" i="2"/>
  <c r="U31" i="2"/>
  <c r="L31" i="2"/>
  <c r="P31" i="2" s="1"/>
  <c r="Y30" i="2"/>
  <c r="X30" i="2"/>
  <c r="W30" i="2"/>
  <c r="V30" i="2"/>
  <c r="U30" i="2"/>
  <c r="L30" i="2"/>
  <c r="P30" i="2" s="1"/>
  <c r="Y29" i="2"/>
  <c r="X29" i="2"/>
  <c r="W29" i="2"/>
  <c r="V29" i="2"/>
  <c r="U29" i="2"/>
  <c r="L29" i="2"/>
  <c r="P29" i="2" s="1"/>
  <c r="Y28" i="2"/>
  <c r="X28" i="2"/>
  <c r="W28" i="2"/>
  <c r="V28" i="2"/>
  <c r="U28" i="2"/>
  <c r="L28" i="2"/>
  <c r="P28" i="2" s="1"/>
  <c r="Y27" i="2"/>
  <c r="X27" i="2"/>
  <c r="W27" i="2"/>
  <c r="V27" i="2"/>
  <c r="U27" i="2"/>
  <c r="L27" i="2"/>
  <c r="P27" i="2" s="1"/>
  <c r="Y26" i="2"/>
  <c r="X26" i="2"/>
  <c r="W26" i="2"/>
  <c r="V26" i="2"/>
  <c r="U26" i="2"/>
  <c r="L26" i="2"/>
  <c r="P26" i="2" s="1"/>
  <c r="Y25" i="2"/>
  <c r="X25" i="2"/>
  <c r="W25" i="2"/>
  <c r="V25" i="2"/>
  <c r="U25" i="2"/>
  <c r="L25" i="2"/>
  <c r="P25" i="2" s="1"/>
  <c r="Y24" i="2"/>
  <c r="X24" i="2"/>
  <c r="W24" i="2"/>
  <c r="V24" i="2"/>
  <c r="U24" i="2"/>
  <c r="L24" i="2"/>
  <c r="P24" i="2" s="1"/>
  <c r="Y23" i="2"/>
  <c r="X23" i="2"/>
  <c r="W23" i="2"/>
  <c r="V23" i="2"/>
  <c r="U23" i="2"/>
  <c r="L23" i="2"/>
  <c r="P23" i="2" s="1"/>
  <c r="Y22" i="2"/>
  <c r="X22" i="2"/>
  <c r="W22" i="2"/>
  <c r="V22" i="2"/>
  <c r="U22" i="2"/>
  <c r="L22" i="2"/>
  <c r="P22" i="2" s="1"/>
  <c r="Y21" i="2"/>
  <c r="X21" i="2"/>
  <c r="W21" i="2"/>
  <c r="V21" i="2"/>
  <c r="U21" i="2"/>
  <c r="L21" i="2"/>
  <c r="P21" i="2" s="1"/>
  <c r="Y20" i="2"/>
  <c r="X20" i="2"/>
  <c r="W20" i="2"/>
  <c r="V20" i="2"/>
  <c r="U20" i="2"/>
  <c r="L20" i="2"/>
  <c r="P20" i="2" s="1"/>
  <c r="Y19" i="2"/>
  <c r="X19" i="2"/>
  <c r="W19" i="2"/>
  <c r="V19" i="2"/>
  <c r="U19" i="2"/>
  <c r="L19" i="2"/>
  <c r="P19" i="2" s="1"/>
  <c r="Y18" i="2"/>
  <c r="X18" i="2"/>
  <c r="W18" i="2"/>
  <c r="V18" i="2"/>
  <c r="U18" i="2"/>
  <c r="L18" i="2"/>
  <c r="P18" i="2" s="1"/>
  <c r="Y17" i="2"/>
  <c r="X17" i="2"/>
  <c r="W17" i="2"/>
  <c r="V17" i="2"/>
  <c r="U17" i="2"/>
  <c r="L17" i="2"/>
  <c r="P17" i="2" s="1"/>
  <c r="Y16" i="2"/>
  <c r="X16" i="2"/>
  <c r="W16" i="2"/>
  <c r="V16" i="2"/>
  <c r="U16" i="2"/>
  <c r="L16" i="2"/>
  <c r="P16" i="2" s="1"/>
  <c r="Y15" i="2"/>
  <c r="X15" i="2"/>
  <c r="W15" i="2"/>
  <c r="V15" i="2"/>
  <c r="U15" i="2"/>
  <c r="L15" i="2"/>
  <c r="P15" i="2" s="1"/>
  <c r="Y14" i="2"/>
  <c r="X14" i="2"/>
  <c r="W14" i="2"/>
  <c r="V14" i="2"/>
  <c r="U14" i="2"/>
  <c r="L14" i="2"/>
  <c r="P14" i="2" s="1"/>
  <c r="Y13" i="2"/>
  <c r="X13" i="2"/>
  <c r="W13" i="2"/>
  <c r="V13" i="2"/>
  <c r="U13" i="2"/>
  <c r="L13" i="2"/>
  <c r="P13" i="2" s="1"/>
  <c r="Y12" i="2"/>
  <c r="X12" i="2"/>
  <c r="W12" i="2"/>
  <c r="V12" i="2"/>
  <c r="U12" i="2"/>
  <c r="L12" i="2"/>
  <c r="P12" i="2" s="1"/>
  <c r="Y11" i="2"/>
  <c r="X11" i="2"/>
  <c r="W11" i="2"/>
  <c r="V11" i="2"/>
  <c r="U11" i="2"/>
  <c r="L11" i="2"/>
  <c r="P11" i="2" s="1"/>
  <c r="Y10" i="2"/>
  <c r="X10" i="2"/>
  <c r="W10" i="2"/>
  <c r="V10" i="2"/>
  <c r="U10" i="2"/>
  <c r="L10" i="2"/>
  <c r="P10" i="2" s="1"/>
  <c r="Y9" i="2"/>
  <c r="X9" i="2"/>
  <c r="W9" i="2"/>
  <c r="V9" i="2"/>
  <c r="U9" i="2"/>
  <c r="L9" i="2"/>
  <c r="P9" i="2" s="1"/>
  <c r="Y8" i="2"/>
  <c r="X8" i="2"/>
  <c r="W8" i="2"/>
  <c r="V8" i="2"/>
  <c r="U8" i="2"/>
  <c r="L8" i="2"/>
  <c r="P8" i="2" s="1"/>
  <c r="Y7" i="2"/>
  <c r="X7" i="2"/>
  <c r="W7" i="2"/>
  <c r="V7" i="2"/>
  <c r="U7" i="2"/>
  <c r="L7" i="2"/>
  <c r="P7" i="2" s="1"/>
  <c r="Y6" i="2"/>
  <c r="X6" i="2"/>
  <c r="W6" i="2"/>
  <c r="V6" i="2"/>
  <c r="U6" i="2"/>
  <c r="L6" i="2"/>
  <c r="P6" i="2" s="1"/>
  <c r="Y5" i="2"/>
  <c r="X5" i="2"/>
  <c r="W5" i="2"/>
  <c r="V5" i="2"/>
  <c r="U5" i="2"/>
  <c r="L5" i="2"/>
  <c r="P5" i="2" s="1"/>
  <c r="Y4" i="2"/>
  <c r="X4" i="2"/>
  <c r="W4" i="2"/>
  <c r="V4" i="2"/>
  <c r="U4" i="2"/>
  <c r="L4" i="2"/>
  <c r="P4" i="2" s="1"/>
  <c r="Y3" i="2"/>
  <c r="X3" i="2"/>
  <c r="W3" i="2"/>
  <c r="V3" i="2"/>
  <c r="U3" i="2"/>
  <c r="L3" i="2"/>
  <c r="P3" i="2" s="1"/>
  <c r="Y1" i="2"/>
  <c r="X1" i="2"/>
  <c r="W1" i="2"/>
  <c r="V1" i="2"/>
  <c r="U1" i="2"/>
  <c r="Q18" i="5" l="1"/>
  <c r="R18" i="5" s="1"/>
  <c r="J167" i="5"/>
  <c r="K62" i="5"/>
  <c r="K167" i="5" s="1"/>
  <c r="Q77" i="5"/>
  <c r="R77" i="5" s="1"/>
  <c r="J172" i="5"/>
  <c r="K81" i="5"/>
  <c r="K172" i="5" s="1"/>
  <c r="J177" i="5"/>
  <c r="K119" i="5"/>
  <c r="K177" i="5" s="1"/>
  <c r="J182" i="5"/>
  <c r="J187" i="5" s="1"/>
  <c r="K142" i="5"/>
  <c r="K182" i="5" s="1"/>
  <c r="K187" i="5" s="1"/>
  <c r="I186" i="5"/>
  <c r="H188" i="5"/>
  <c r="H189" i="5"/>
  <c r="J44" i="4"/>
  <c r="K3" i="4"/>
  <c r="K44" i="4" s="1"/>
  <c r="J49" i="4"/>
  <c r="K9" i="4"/>
  <c r="K49" i="4" s="1"/>
  <c r="C86" i="2"/>
  <c r="E86" i="2" s="1"/>
  <c r="I82" i="2"/>
  <c r="L82" i="2" s="1"/>
  <c r="P82" i="2" s="1"/>
  <c r="I81" i="2"/>
  <c r="L81" i="2" s="1"/>
  <c r="P81" i="2" s="1"/>
  <c r="L77" i="2"/>
  <c r="P77" i="2" s="1"/>
  <c r="L103" i="2"/>
  <c r="I103" i="2"/>
  <c r="L104" i="2"/>
  <c r="I104" i="2"/>
  <c r="H111" i="2"/>
  <c r="I105" i="2"/>
  <c r="H112" i="2"/>
  <c r="I107" i="2"/>
  <c r="K54" i="4" l="1"/>
  <c r="J54" i="4"/>
  <c r="H114" i="2"/>
  <c r="L101" i="2"/>
  <c r="M101" i="2" s="1"/>
  <c r="L102" i="2"/>
  <c r="N101" i="2" s="1"/>
  <c r="O101" i="2" l="1"/>
  <c r="P101" i="2" s="1"/>
</calcChain>
</file>

<file path=xl/sharedStrings.xml><?xml version="1.0" encoding="utf-8"?>
<sst xmlns="http://schemas.openxmlformats.org/spreadsheetml/2006/main" count="2090" uniqueCount="394">
  <si>
    <t>Memória de cálculo de cargas e dimensionamentos do QDAR_UI_1</t>
  </si>
  <si>
    <t>Item</t>
  </si>
  <si>
    <t>Equipamento</t>
  </si>
  <si>
    <t>Especificação</t>
  </si>
  <si>
    <t>Potência de Refrigeração (HP)</t>
  </si>
  <si>
    <t>Descrição</t>
  </si>
  <si>
    <t>Quadro</t>
  </si>
  <si>
    <t>Tensão (V)</t>
  </si>
  <si>
    <t>Sistema</t>
  </si>
  <si>
    <t>Potência Unitária (W)</t>
  </si>
  <si>
    <t xml:space="preserve">Eficiência do motor </t>
  </si>
  <si>
    <t>Fator de Potência</t>
  </si>
  <si>
    <t>Corrente (A)</t>
  </si>
  <si>
    <t xml:space="preserve">Queda máxima de tensão admissível </t>
  </si>
  <si>
    <t>Constante de Condutividade (cobre)</t>
  </si>
  <si>
    <t>Comprimento do Circuito (m)</t>
  </si>
  <si>
    <t>Seção (mm²)</t>
  </si>
  <si>
    <t>Cabo Selecionado (mm²)</t>
  </si>
  <si>
    <t>Disjuntor Selecionado (A)</t>
  </si>
  <si>
    <t>Unidade Interna do Sistema VRF Indoor 01</t>
  </si>
  <si>
    <t>Cassete 4 vias</t>
  </si>
  <si>
    <t>Circuito do Sistema 01, Unidade Interna 01</t>
  </si>
  <si>
    <t>QDAR_UI_1</t>
  </si>
  <si>
    <t>Monofásico</t>
  </si>
  <si>
    <t>NBR 5410</t>
  </si>
  <si>
    <t>Unidade Interna do Sistema VRF Indoor 02</t>
  </si>
  <si>
    <t>Circuito do Sistema 01, Unidade Interna 02</t>
  </si>
  <si>
    <t>Unidade Interna do Sistema VRF Indoor 03</t>
  </si>
  <si>
    <t>Circuito do Sistema 01, Unidade Interna 03</t>
  </si>
  <si>
    <t>Unidade Interna do Sistema VRF Indoor 04</t>
  </si>
  <si>
    <t>Circuito do Sistema 01, Unidade Interna 04</t>
  </si>
  <si>
    <t>Unidade Interna do Sistema VRF Indoor 05</t>
  </si>
  <si>
    <t>Cassete de 1 via</t>
  </si>
  <si>
    <t>Circuito do Sistema 01, Unidade Interna 05</t>
  </si>
  <si>
    <t>Unidade Interna do Sistema VRF Indoor 06</t>
  </si>
  <si>
    <t>Circuito do Sistema 01, Unidade Interna 06</t>
  </si>
  <si>
    <t>Unidade Interna do Sistema VRF Indoor 07</t>
  </si>
  <si>
    <t>Circuito do Sistema 01, Unidade Interna 07</t>
  </si>
  <si>
    <t>Unidade Interna do Sistema VRF Indoor 08</t>
  </si>
  <si>
    <t>Circuito do Sistema 01, Unidade Interna 08</t>
  </si>
  <si>
    <t>Unidade Interna do Sistema VRF Indoor 09</t>
  </si>
  <si>
    <t>Circuito do Sistema 01, Unidade Interna 09</t>
  </si>
  <si>
    <t>Unidade Interna do Sistema VRF Indoor 10</t>
  </si>
  <si>
    <t>Circuito do Sistema 01, Unidade Interna 10</t>
  </si>
  <si>
    <t>Unidade Interna do Sistema VRF Indoor 11</t>
  </si>
  <si>
    <t>Circuito do Sistema 01, Unidade Interna 11</t>
  </si>
  <si>
    <t>Unidade Interna do Sistema VRF Indoor 12</t>
  </si>
  <si>
    <t>Circuito do Sistema 01, Unidade Interna 12</t>
  </si>
  <si>
    <t>Unidade Interna do Sistema VRF Indoor 13</t>
  </si>
  <si>
    <t>Circuito do Sistema 01, Unidade Interna 13</t>
  </si>
  <si>
    <t>Unidade Interna do Sistema VRF Indoor 14</t>
  </si>
  <si>
    <t>Circuito do Sistema 01, Unidade Interna 14</t>
  </si>
  <si>
    <t>Unidade Interna do Sistema VRF Indoor 15</t>
  </si>
  <si>
    <t>Circuito do Sistema 01, Unidade Interna 15</t>
  </si>
  <si>
    <t>Unidade Interna do Sistema VRF Indoor 16</t>
  </si>
  <si>
    <t>Circuito do Sistema 01, Unidade Interna 16</t>
  </si>
  <si>
    <t>Unidade Interna do Sistema VRF Indoor 17</t>
  </si>
  <si>
    <t>Circuito do Sistema 01, Unidade Interna 17</t>
  </si>
  <si>
    <t>Unidade Interna do Sistema VRF Indoor 18</t>
  </si>
  <si>
    <t>Circuito do Sistema 01, Unidade Interna 18</t>
  </si>
  <si>
    <t>Unidade Interna do Sistema VRF Indoor 19</t>
  </si>
  <si>
    <t>Circuito do Sistema 01, Unidade Interna 19</t>
  </si>
  <si>
    <t>Unidade Interna do Sistema VRF Indoor 20</t>
  </si>
  <si>
    <t>Circuito do Sistema 01, Unidade Interna 20</t>
  </si>
  <si>
    <t>Unidade Interna do Sistema VRF Indoor 21</t>
  </si>
  <si>
    <t>Circuito do Sistema 01, Unidade Interna 21</t>
  </si>
  <si>
    <t>Unidade Interna do Sistema VRF Indoor 22</t>
  </si>
  <si>
    <t>Circuito do Sistema 01, Unidade Interna 22</t>
  </si>
  <si>
    <t>Unidade Interna do Sistema VRF Indoor 23</t>
  </si>
  <si>
    <t>Circuito do Sistema 01, Unidade Interna 23</t>
  </si>
  <si>
    <t>Unidade Interna do Sistema VRF Indoor 24</t>
  </si>
  <si>
    <t>Circuito do Sistema 01, Unidade Interna 24</t>
  </si>
  <si>
    <t>Unidade Interna do Sistema VRF Indoor 25</t>
  </si>
  <si>
    <t>Circuito do Sistema 01, Unidade Interna 25</t>
  </si>
  <si>
    <t>Unidade Interna do Sistema VRF Indoor 26</t>
  </si>
  <si>
    <t>Circuito do Sistema 01, Unidade Interna 26</t>
  </si>
  <si>
    <t>Unidade Interna do Sistema VRF Indoor 27</t>
  </si>
  <si>
    <t>Circuito do Sistema 01, Unidade Interna 27</t>
  </si>
  <si>
    <t>Unidade Interna do Sistema VRF Indoor 28</t>
  </si>
  <si>
    <t>Circuito do Sistema 01, Unidade Interna 28</t>
  </si>
  <si>
    <t>Unidade Interna do Sistema VRF Indoor 29</t>
  </si>
  <si>
    <t>Circuito do Sistema 01, Unidade Interna 29</t>
  </si>
  <si>
    <t>Unidade Interna do Sistema VRF Indoor 30</t>
  </si>
  <si>
    <t>Circuito do Sistema 01, Unidade Interna 30</t>
  </si>
  <si>
    <t>Unidade Interna do Sistema VRF Indoor 31</t>
  </si>
  <si>
    <t>Circuito do Sistema 01, Unidade Interna 31</t>
  </si>
  <si>
    <t>Unidade Interna do Sistema VRF Indoor 32</t>
  </si>
  <si>
    <t>Circuito do Sistema 01, Unidade Interna 32</t>
  </si>
  <si>
    <t>Unidade Interna do Sistema VRF Indoor 33</t>
  </si>
  <si>
    <t>Circuito do Sistema 01, Unidade Interna 33</t>
  </si>
  <si>
    <t>Unidade Interna do Sistema VRF Indoor 34</t>
  </si>
  <si>
    <t>Cassete 1 via</t>
  </si>
  <si>
    <t>Circuito do Sistema 01, Unidade Interna 34</t>
  </si>
  <si>
    <t>Unidade Interna do Sistema VRF Indoor 35</t>
  </si>
  <si>
    <t>Circuito do Sistema 01, Unidade Interna 35</t>
  </si>
  <si>
    <t>Unidade Interna do Sistema VRF Indoor 36</t>
  </si>
  <si>
    <t>Circuito do Sistema 01, Unidade Interna 36</t>
  </si>
  <si>
    <t>Unidade Interna do Sistema VRF Indoor 37</t>
  </si>
  <si>
    <t>Circuito do Sistema 01, Unidade Interna 37</t>
  </si>
  <si>
    <t>Unidade Interna do Sistema VRF Indoor 38</t>
  </si>
  <si>
    <t>Circuito do Sistema 01, Unidade Interna 38</t>
  </si>
  <si>
    <t>Unidade Interna do Sistema VRF Indoor 39</t>
  </si>
  <si>
    <t>Circuito do Sistema 01, Unidade Interna 39</t>
  </si>
  <si>
    <t>Unidade Interna do Sistema VRF Indoor 40</t>
  </si>
  <si>
    <t>Circuito do Sistema 01, Unidade Interna 40</t>
  </si>
  <si>
    <t>Unidade Interna do Sistema VRF Indoor 41</t>
  </si>
  <si>
    <t>Circuito do Sistema 01, Unidade Interna 41</t>
  </si>
  <si>
    <t>Unidade Interna do Sistema VRF Indoor 42</t>
  </si>
  <si>
    <t>Circuito do Sistema 01, Unidade Interna 42</t>
  </si>
  <si>
    <t>Unidade Interna do Sistema VRF Indoor 43</t>
  </si>
  <si>
    <t>Circuito do Sistema 01, Unidade Interna 43</t>
  </si>
  <si>
    <t>Unidade Interna do Sistema VRF Indoor 44</t>
  </si>
  <si>
    <t>Circuito do Sistema 01, Unidade Interna 44</t>
  </si>
  <si>
    <t>Unidade Interna do Sistema VRF Indoor 45</t>
  </si>
  <si>
    <t>Circuito do Sistema 01, Unidade Interna 45</t>
  </si>
  <si>
    <t>Unidade Interna do Sistema VRF Indoor 46</t>
  </si>
  <si>
    <t>Circuito do Sistema 01, Unidade Interna 46</t>
  </si>
  <si>
    <t>Unidade Interna do Sistema VRF Indoor 47</t>
  </si>
  <si>
    <t>Circuito do Sistema 01, Unidade Interna 47</t>
  </si>
  <si>
    <t>Unidade Interna do Sistema VRF Indoor 48</t>
  </si>
  <si>
    <t>Circuito do Sistema 01, Unidade Interna 48</t>
  </si>
  <si>
    <t>Unidade Interna do Sistema VRF Indoor 49</t>
  </si>
  <si>
    <t>Circuito do Sistema 01, Unidade Interna 49</t>
  </si>
  <si>
    <t>Unidade Interna do Sistema VRF Indoor 50</t>
  </si>
  <si>
    <t>Circuito do Sistema 01, Unidade Interna 50</t>
  </si>
  <si>
    <t>Unidade Interna do Sistema VRF Indoor 51</t>
  </si>
  <si>
    <t>Circuito do Sistema 01, Unidade Interna 51</t>
  </si>
  <si>
    <t>Unidade Interna do Sistema VRF Indoor 52</t>
  </si>
  <si>
    <t>Circuito do Sistema 01, Unidade Interna 52</t>
  </si>
  <si>
    <t>Unidade Interna do Sistema VRF Indoor 53</t>
  </si>
  <si>
    <t>Circuito do Sistema 01, Unidade Interna 53</t>
  </si>
  <si>
    <t>Unidade Interna do Sistema VRF Indoor 54</t>
  </si>
  <si>
    <t>Circuito do Sistema 01, Unidade Interna 54</t>
  </si>
  <si>
    <t>Unidade Interna do Sistema VRF Indoor 55</t>
  </si>
  <si>
    <t>Circuito do Sistema 01, Unidade Interna 55</t>
  </si>
  <si>
    <t>Unidade Interna do Sistema VRF Indoor 56</t>
  </si>
  <si>
    <t>Circuito do Sistema 01, Unidade Interna 56</t>
  </si>
  <si>
    <t>Unidade Interna do Sistema VRF Indoor 57</t>
  </si>
  <si>
    <t>Circuito do Sistema 01, Unidade Interna 57</t>
  </si>
  <si>
    <t>Gabinete de Ventilação de Renovação de Ar 01 - GVRA  01</t>
  </si>
  <si>
    <t>Gabiente de Ventilação 01</t>
  </si>
  <si>
    <t>3550 m³/h</t>
  </si>
  <si>
    <t>Circuito do Sistema 01, Gabinete de Ventilação 01</t>
  </si>
  <si>
    <t>Trifásico</t>
  </si>
  <si>
    <t>Gabinete de Ventilação de Renovação de Ar 02 - GVRA  02</t>
  </si>
  <si>
    <t>Gabiente de Ventilação 02</t>
  </si>
  <si>
    <t>2940 m³/h</t>
  </si>
  <si>
    <t>Circuito do Sistema 01, Gabinete de Ventilação 02</t>
  </si>
  <si>
    <t>Gabinete de Ventilação de Renovação de Ar 03 - GVRA  03</t>
  </si>
  <si>
    <t>Gabiente de Ventilação 03</t>
  </si>
  <si>
    <t>1870 m³/h</t>
  </si>
  <si>
    <t>Circuito do Sistema 01, Gabinete de Ventilação03</t>
  </si>
  <si>
    <t>Gabinete de Ventilação de Renovação de Ar 04 - GVRA  04</t>
  </si>
  <si>
    <t>Gabiente de Ventilação 04</t>
  </si>
  <si>
    <t>4500 m³/h</t>
  </si>
  <si>
    <t>Circuito do Sistema 01, Gabinete de Ventilação04</t>
  </si>
  <si>
    <t>Exaustor 01</t>
  </si>
  <si>
    <t>600 m³/h</t>
  </si>
  <si>
    <t>Circuito do Sistema 01, Exausttor 01</t>
  </si>
  <si>
    <t>Exaustor 02</t>
  </si>
  <si>
    <t>3740 m³/h</t>
  </si>
  <si>
    <t>Circuito do Sistema 01, Exausttor 02</t>
  </si>
  <si>
    <t>Circuito do Sistema 01, Reserva  01</t>
  </si>
  <si>
    <t>Memória de cálculo de cargas e dimensionamentos do QD_UE</t>
  </si>
  <si>
    <t>Sistema 01 - Circuito da Unidade Externa 01</t>
  </si>
  <si>
    <t>Unidade Externa Modular Sistema VRF</t>
  </si>
  <si>
    <t>QDGAR</t>
  </si>
  <si>
    <t>Sistema 01 - Circuito da Unidade Externa 02</t>
  </si>
  <si>
    <t>Sistema 01 - Circuito da Unidade Externa 03</t>
  </si>
  <si>
    <t>Sistema 01 - Circuito da Unidade Externa 04</t>
  </si>
  <si>
    <t>Sistema 02 - Circuito da Unidade Externa 01</t>
  </si>
  <si>
    <t>Previsão para o Sistema 02 - Térreo</t>
  </si>
  <si>
    <t>Circuito Reserva 01</t>
  </si>
  <si>
    <t>Reserva</t>
  </si>
  <si>
    <t>Quadro de Ar Condiconado das Unidades Internas 01</t>
  </si>
  <si>
    <t>Sistema 01</t>
  </si>
  <si>
    <t>Memória de cálculo de cargas e dimensionamentos dos Cabos de Alimentação e dos Disjuntores Gerais do  QD_UE e QDAR_UI2</t>
  </si>
  <si>
    <t>QD_UE</t>
  </si>
  <si>
    <t>Quadro das Unidades Externas</t>
  </si>
  <si>
    <t>QGBT</t>
  </si>
  <si>
    <t>QDAR_UI1</t>
  </si>
  <si>
    <t>Quadro das Unidades Internas do Sistema 01</t>
  </si>
  <si>
    <t>Memória de cálculo de cargas e dimensionamentos dos DPSs</t>
  </si>
  <si>
    <t>Nível de Proteção (Up &lt;=)</t>
  </si>
  <si>
    <t>Tensão Nominal (Uc &gt;= )</t>
  </si>
  <si>
    <t>Classe do DPS</t>
  </si>
  <si>
    <t xml:space="preserve">DPS </t>
  </si>
  <si>
    <t>Classe II</t>
  </si>
  <si>
    <t>Quadro de Ar Condiconado das Unidades Internas 02</t>
  </si>
  <si>
    <t>Quadro de Ar Condiconado das Unidades Externas</t>
  </si>
  <si>
    <t>Memória de cálculo de cargas e dimensionamentos dos Eletrodutos e Eletrocalhas</t>
  </si>
  <si>
    <t>raio</t>
  </si>
  <si>
    <t>diametro</t>
  </si>
  <si>
    <t>pi</t>
  </si>
  <si>
    <t>Eletroduto / Eletrocalha</t>
  </si>
  <si>
    <t>Número de cabos</t>
  </si>
  <si>
    <t>Seção do cabo (mm²)</t>
  </si>
  <si>
    <t>Área Total (mm²)_</t>
  </si>
  <si>
    <t>Área Total (mm²)</t>
  </si>
  <si>
    <t>Ocupação Máxima</t>
  </si>
  <si>
    <t>Área Mínuma do Eletroduto (mm²)</t>
  </si>
  <si>
    <t>Especificação do Item selecionado</t>
  </si>
  <si>
    <t>Quantidade (m)</t>
  </si>
  <si>
    <t>Eletroduto flexível revestido com PVC de fechamento nas Unidades Internas</t>
  </si>
  <si>
    <t>Eletroduto flexível, reforçado, DN 25 mm ( 3/4 pol)</t>
  </si>
  <si>
    <t>Eletroduto flexível revestido com PVC de fechamento nas Unidades Externas</t>
  </si>
  <si>
    <t>Eletroduto flexível, reforçado, DN 32 mm (1  pol)</t>
  </si>
  <si>
    <t>Eletroduto flexível revestido com PVC de fechamento nos Gabinetes de Ventilação de Renovação de Ar</t>
  </si>
  <si>
    <t>Eletrocalha Unidades Externas</t>
  </si>
  <si>
    <t>Eletrocalha perfurada 200 x 100 mm</t>
  </si>
  <si>
    <t>Eletrocalha 100 X 50 mm</t>
  </si>
  <si>
    <t>Eletrocalha perfurada 100 x 50 mm</t>
  </si>
  <si>
    <t>Eletrocalha 50 X 50 mm</t>
  </si>
  <si>
    <t>Eletrocalha perfurada 50 x 50 mm</t>
  </si>
  <si>
    <t>Quadro resumo</t>
  </si>
  <si>
    <t>Sistema / Pavimento</t>
  </si>
  <si>
    <t>Quantidade</t>
  </si>
  <si>
    <t>Potência Total (W)</t>
  </si>
  <si>
    <t>Demanda (kVA)</t>
  </si>
  <si>
    <t>FP</t>
  </si>
  <si>
    <t>Numero de fases</t>
  </si>
  <si>
    <t>Demanda (VA)</t>
  </si>
  <si>
    <t>Demanda  1 F (VA)</t>
  </si>
  <si>
    <t>Demanda 3 F (VA)</t>
  </si>
  <si>
    <t>Demanda Total (VA)</t>
  </si>
  <si>
    <t>Corrente de Demanda (A)</t>
  </si>
  <si>
    <t>Sistema 01 / CAE</t>
  </si>
  <si>
    <t>Unidade Interna do Sistema VRF</t>
  </si>
  <si>
    <t>Unidade Externa do Sistema VRF</t>
  </si>
  <si>
    <t>Ventilador / Exaustor de Renovação de Ar</t>
  </si>
  <si>
    <t>Sistema 02 / Térreo</t>
  </si>
  <si>
    <t>Resumo das Cargas Totalizadas:</t>
  </si>
  <si>
    <t>Sistema de Climatização (W)</t>
  </si>
  <si>
    <t>Sistema de Renovação de Ar (W)</t>
  </si>
  <si>
    <t>Carga Total Instalada (W)</t>
  </si>
  <si>
    <t>Memória de Cálculo Automação e Comando</t>
  </si>
  <si>
    <t>Circuito de Automação e Comunicação do Sistema 01, Unidade Interna 01</t>
  </si>
  <si>
    <t>2 x 1,5 mm² Blindado</t>
  </si>
  <si>
    <t>Circuito de Automação e Comunicação do Sistema 01, Unidade Interna 02</t>
  </si>
  <si>
    <t>Circuito de Automação e Comunicação do Sistema 01, Unidade Interna 03</t>
  </si>
  <si>
    <t>Circuito de Automação e Comunicação do Sistema 01, Unidade Interna 04</t>
  </si>
  <si>
    <t>Circuito de Automação e Comunicação do Sistema 01, Unidade Interna 05</t>
  </si>
  <si>
    <t>Circuito de Automação e Comunicação do Sistema 01, Unidade Interna 06</t>
  </si>
  <si>
    <t>Circuito de Automação e Comunicação do Sistema 01, Unidade Interna 07</t>
  </si>
  <si>
    <t>Circuito de Automação e Comunicação do Sistema 01, Unidade Interna 08</t>
  </si>
  <si>
    <t>Circuito de Automação e Comunicação do Sistema 01, Unidade Interna 09</t>
  </si>
  <si>
    <t>Circuito de Automação e Comunicação do Sistema 01, Unidade Interna 10</t>
  </si>
  <si>
    <t>Circuito de Automação e Comunicação do Sistema 01, Unidade Interna 11</t>
  </si>
  <si>
    <t>Circuito de Automação e Comunicação do Sistema 01, Unidade Interna 12</t>
  </si>
  <si>
    <t>Circuito de Automação e Comunicação do Sistema 01, Unidade Interna 13</t>
  </si>
  <si>
    <t>Circuito de Automação e Comunicação do Sistema 01, Unidade Interna 14</t>
  </si>
  <si>
    <t>Circuito de Automação e Comunicação do Sistema 01, Unidade Interna 15</t>
  </si>
  <si>
    <t>Circuito de Automação e Comunicação do Sistema 01, Unidade Interna 16</t>
  </si>
  <si>
    <t>Circuito de Automação e Comunicação do Sistema 01, Unidade Interna 17</t>
  </si>
  <si>
    <t>Circuito de Automação e Comunicação do Sistema 01, Unidade Interna 18</t>
  </si>
  <si>
    <t>Circuito de Automação e Comunicação do Sistema 01, Unidade Interna 19</t>
  </si>
  <si>
    <t>Circuito de Automação e Comunicação do Sistema 01, Unidade Interna 20</t>
  </si>
  <si>
    <t>Circuito de Automação e Comunicação do Sistema 01, Unidade Interna 21</t>
  </si>
  <si>
    <t>Circuito de Automação e Comunicação do Sistema 01, Unidade Interna 22</t>
  </si>
  <si>
    <t>Circuito de Automação e Comunicação do Sistema 01, Unidade Interna 23</t>
  </si>
  <si>
    <t>Circuito de Automação e Comunicação do Sistema 01, Unidade Interna 24</t>
  </si>
  <si>
    <t>Circuito de Automação e Comunicação do Sistema 01, Unidade Interna 25</t>
  </si>
  <si>
    <t>Circuito de Automação e Comunicação do Sistema 01, Unidade Interna 26</t>
  </si>
  <si>
    <t>Circuito de Automação e Comunicação do Sistema 01, Unidade Interna 27</t>
  </si>
  <si>
    <t>Circuito de Automação e Comunicação do Sistema 01, Unidade Interna 28</t>
  </si>
  <si>
    <t>Circuito de Automação e Comunicação do Sistema 01, Unidade Interna 29</t>
  </si>
  <si>
    <t>Circuito de Automação e Comunicação do Sistema 01, Unidade Interna 30</t>
  </si>
  <si>
    <t>Circuito de Automação e Comunicação do Sistema 01, Unidade Interna 31</t>
  </si>
  <si>
    <t>Circuito de Automação e Comunicação do Sistema 01, Unidade Interna 32</t>
  </si>
  <si>
    <t>Circuito de Automação e Comunicação do Sistema 01, Unidade Interna 33</t>
  </si>
  <si>
    <t>Circuito de Automação e Comunicação do Sistema 01, Unidade Interna 34</t>
  </si>
  <si>
    <t>Circuito de Automação e Comunicação do Sistema 01, Unidade Interna 35</t>
  </si>
  <si>
    <t>Circuito de Automação e Comunicação do Sistema 01, Unidade Interna 36</t>
  </si>
  <si>
    <t>Circuito de Automação e Comunicação do Sistema 01, Unidade Interna 37</t>
  </si>
  <si>
    <t>Circuito de Automação e Comunicação do Sistema 01, Unidade Interna 38</t>
  </si>
  <si>
    <t>Circuito de Automação e Comunicação do Sistema 01, Unidade Interna 39</t>
  </si>
  <si>
    <t>Circuito de Automação e Comunicação do Sistema 01, Unidade Interna 40</t>
  </si>
  <si>
    <t>Circuito de Automação e Comunicação do Sistema 01, Unidade Interna 41</t>
  </si>
  <si>
    <t>Circuito de Automação e Comunicação do Sistema 01, Unidade Interna 42</t>
  </si>
  <si>
    <t>Circuito de Automação e Comunicação do Sistema 01, Unidade Interna 43</t>
  </si>
  <si>
    <t>Circuito de Automação e Comunicação do Sistema 01, Unidade Interna 44</t>
  </si>
  <si>
    <t>Circuito de Automação e Comunicação do Sistema 01, Unidade Interna 45</t>
  </si>
  <si>
    <t>Circuito de Automação e Comunicação do Sistema 01, Unidade Interna 46</t>
  </si>
  <si>
    <t>Circuito de Automação e Comunicação do Sistema 01, Unidade Interna 47</t>
  </si>
  <si>
    <t>Circuito de Automação e Comunicação do Sistema 01, Unidade Interna 48</t>
  </si>
  <si>
    <t>Circuito de Automação e Comunicação do Sistema 01, Unidade Interna 49</t>
  </si>
  <si>
    <t>Circuito de Automação e Comunicação do Sistema 01, Unidade Interna 50</t>
  </si>
  <si>
    <t>Circuito de Automação e Comunicação do Sistema 01, Unidade Interna 51</t>
  </si>
  <si>
    <t>Circuito de Automação e Comunicação do Sistema 01, Unidade Interna 52</t>
  </si>
  <si>
    <t>Circuito de Automação e Comunicação do Sistema 01, Unidade Interna 53</t>
  </si>
  <si>
    <t>Circuito de Automação e Comunicação do Sistema 01, Unidade Interna 54</t>
  </si>
  <si>
    <t>Circuito de Automação e Comunicação do Sistema 01, Unidade Interna 55</t>
  </si>
  <si>
    <t>Circuito de Automação e Comunicação do Sistema 01, Unidade Interna 56</t>
  </si>
  <si>
    <t>Circuito de Automação e Comunicação do Sistema 01, Unidade Interna 57</t>
  </si>
  <si>
    <t>Circuito de Automação e Comunicação do Sistema 01, Gabinete de Ventilação 01</t>
  </si>
  <si>
    <t>Circuito de Automação e Comunicação do Sistema 01, Gabinete de Ventilação 02</t>
  </si>
  <si>
    <t>Circuito de Automação e Comunicação do Sistema 01, Gabinete de Ventilação03</t>
  </si>
  <si>
    <t>Circuito de Automação e Comunicação do Sistema 01, Gabinete de Ventilação04</t>
  </si>
  <si>
    <t>Circuito de Automação e Comunicação do Sistema 01, Exausttor 01</t>
  </si>
  <si>
    <t>Circuito de Automação e Comunicação do Sistema 01, Exausttor 02</t>
  </si>
  <si>
    <t>Total:</t>
  </si>
  <si>
    <t>Memória de cálculo de dimensionamento da Automação e Comunicação</t>
  </si>
  <si>
    <t>UTP 4 pares Cat 6</t>
  </si>
  <si>
    <t>Eletroduto flexível
revestido com PVC de fechamento nas Unidades Internas</t>
  </si>
  <si>
    <t>Eletroduto flexível
revestido com PVC de 3/4" (DN 25)</t>
  </si>
  <si>
    <t>Eletroduto flexível
revestido com PVC de fechamento nas Unidades Externas</t>
  </si>
  <si>
    <t>Eletroduto flexível
revestido com PVC de fechamento nos Gabinetes de Ventilação de Renovação de Ar</t>
  </si>
  <si>
    <t>Eletrocalha Unidades Internas, Exaustores e Gabinetes de Ventilação de Renovação de Ar</t>
  </si>
  <si>
    <t>Eletrocalha Perfurada  tipo "U" 50 x 50 , sem tampa</t>
  </si>
  <si>
    <t>Observação: Levantamento realizado através da prancha 14/17, através da polilinha "Clima_Comando"</t>
  </si>
  <si>
    <t>Unidade</t>
  </si>
  <si>
    <t>Válvula GBC 3/8</t>
  </si>
  <si>
    <t>Válvula GBC 5/8</t>
  </si>
  <si>
    <t>Válvula GBC 1/2</t>
  </si>
  <si>
    <t>Válvula GBC 1/4</t>
  </si>
  <si>
    <t>E962SNB3 - Multikit - R410A - line branch  ou EQUIVALENTE TÉCNICO</t>
  </si>
  <si>
    <t>PCAWRBIZ - Controle Remoto sem fio -  Família Set Free - Para Sistema  Funcional  ou EQUIVALENTE TÉCNICO</t>
  </si>
  <si>
    <t>E162SNB2 - Multikit - R410A - line branch  ou EQUIVALENTE TÉCNICO</t>
  </si>
  <si>
    <t>E102SNB2 - Multikit - R410A - line branch ou EQUIVALENTE TÉCNICO</t>
  </si>
  <si>
    <t>E242SNB2 - Multikit - R410A - line branch  ou EQUIVALENTE TÉCNICO</t>
  </si>
  <si>
    <t>E302SNB2 - Multikit - R410A - line branch  ou EQUIVALENTE TÉCNICO</t>
  </si>
  <si>
    <t>TUBO EM COBRE FLEXÍVEL, DN 1/4", COM ISOLAMENTO, INSTALADO EM RAMAL DE ALIMENTAÇÃO DE AR CONDICIONADO COM CONDENSADORA CENTRAL - FORNECIMENTO E INSTALAÇÃO. AF_12/2015</t>
  </si>
  <si>
    <t>M</t>
  </si>
  <si>
    <t>Tubulação em cobre Ø 3/8", para interligação de condensador/evaporador, inclusive isolamento térmico elastomérico 19mm. multikits, alimentação elétrica, conexões e fixações (infraestrutura p/ sistema de climatização vrv) - fornecimento e instalação</t>
  </si>
  <si>
    <t>m</t>
  </si>
  <si>
    <t>TUBO DE COBRE CLASSE A S/COST DN=1 1/4 (35) SOLDA FOSCOPER</t>
  </si>
  <si>
    <t>Tubulação em cobre Ø 1/2", para interligação de condensador/evaporador, inclusive isolamento térmico elastomérico 19mm. multikits, alimentação elétrica, conexões e fixações (infraestrutura p/ sistema de climatização vrv) - fornecimento e instalação</t>
  </si>
  <si>
    <t>Tubulação em cobre Ø 5/8", para interligação de condensador/evaporador, inclusive isolamento térmico elastomérico 19mm. multikits, alimentação elétrica, conexões e fixações (infraestrutura p/ sistema de climatização vrv) - fornecimento e instalação</t>
  </si>
  <si>
    <t>Tubulação em cobre Ø 3/4", para interligação de condensador/evaporador, inclusive isolamento térmico elastomérico 19mm. multikits, alimentação elétrica, conexões e fixações (infraestrutura p/ sistema de climatização vrv) - fornecimento e instalação</t>
  </si>
  <si>
    <t>Tubulação em cobre Ø 1", para interligação de condensador/evaporador, inclusive isolamento térmico elastomérico 19mm. multikits, alimentação elétrica, conexões e fixações (infraestrutura p/ sistema de climatização vrv) - fornecimento e instalação</t>
  </si>
  <si>
    <t>Tubulação em cobre Ø 1 1/8", para interligação de condensador/evaporador, inclusive isolamento térmico elastomérico 19mm. multikits, alimentação elétrica,conexões e fixações (infraestrutura p/ sistema de climatização vrv) - fornecimento e instalação</t>
  </si>
  <si>
    <t>TUBO COBRE RIGIDO CLASSE E 54mm 2""</t>
  </si>
  <si>
    <t>Tubulação em cobre Ø 1 1/2", para interligação de condensador/evaporador, inclusive isolamento térmico elastomérico 19mm. multikits, alimentação elétrica,conexões e fixações (infraestrutura p/ sistema de climatização vrv) - fornecimento e instalação</t>
  </si>
  <si>
    <t>Tubulação em cobre Ø 7/8", para interligação de condensador/evaporador, inclusive isolamento térmico elastomérico 19mm. multikits, alimentação elétrica, conexões e fixações (infraestrutura p/ sistema de climatização vrv) - fornecimento e instalação</t>
  </si>
  <si>
    <t>Instalação de Ar Condicionado Tipo VRF, Unidade Externa, Potência de Refrigeração de  até 28 HP MÃO DE OBRA E INSUMOS</t>
  </si>
  <si>
    <t>Instalação de Ar Condicionado Tipo VRF, Unidade Interna Tipo Cassete de 4 vias, Potência de Refrigeração de 11,20 kW e aquecimento de 12,50 kW</t>
  </si>
  <si>
    <t>Instalação de Ar Condicionado Tipo VRF, Unidade Interna Tipo Cassete de 1 via, Potência de Refrigeração de 2,8 kW</t>
  </si>
  <si>
    <t>Instalação  de Ar Condicionado Tipo VRF, Unidade Interna Tipo Cassete de 4 vias, Potência de Refrigeração de 2,8 kW</t>
  </si>
  <si>
    <t>Instalação de Ar Condicionado Tipo VRF, Unidade Interna Tipo Cassete de 4 vias, Potência de Refrigeração de 4,0 kW</t>
  </si>
  <si>
    <t>Instalação de Ar Condicionado Tipo VRF, Unidade Interna Tipo Cassete de 4 vias, Potência de Refrigeração de 5,6 kW</t>
  </si>
  <si>
    <t>Memória de cálculo de cargas e dimensionamentos do Sistema 01</t>
  </si>
  <si>
    <t>Vazão de ar (m³/h)</t>
  </si>
  <si>
    <t>Vazão Máxima (l/min)</t>
  </si>
  <si>
    <t>Vazão Máxima (l/dia)</t>
  </si>
  <si>
    <t>Comprimento da Rede (m)</t>
  </si>
  <si>
    <t>Seção Mínima (mm²)</t>
  </si>
  <si>
    <t>Tubo Seleciona (DN - mm)</t>
  </si>
  <si>
    <t xml:space="preserve">Total: </t>
  </si>
  <si>
    <t>DN 40</t>
  </si>
  <si>
    <t>Memória de cálculo de cargas e dimensionamentos do QDAR_UI_2</t>
  </si>
  <si>
    <t>Built in (dutado)</t>
  </si>
  <si>
    <t>Circuito do Sistema 02, Unidade Interna 01</t>
  </si>
  <si>
    <t>Circuito do Sistema 02, Unidade Interna 02</t>
  </si>
  <si>
    <t>Circuito do Sistema 02, Unidade Interna 03</t>
  </si>
  <si>
    <t>Circuito do Sistema 02, Unidade Interna 04</t>
  </si>
  <si>
    <t>Circuito do Sistema 02, Unidade Interna 05</t>
  </si>
  <si>
    <t>Circuito do Sistema 02, Unidade Interna 06</t>
  </si>
  <si>
    <t>Circuito do Sistema 02, Unidade Interna 07</t>
  </si>
  <si>
    <t>Reno</t>
  </si>
  <si>
    <t>Ramal</t>
  </si>
  <si>
    <t>Comprimento (m)</t>
  </si>
  <si>
    <t>Tipo</t>
  </si>
  <si>
    <t>Material</t>
  </si>
  <si>
    <t>Chapa (e = mm)</t>
  </si>
  <si>
    <t>Quantidade (unidade)</t>
  </si>
  <si>
    <t>Quantidade (m²)</t>
  </si>
  <si>
    <t>Quantidade (kg)</t>
  </si>
  <si>
    <t>Altura (m)</t>
  </si>
  <si>
    <t>Largura (m)</t>
  </si>
  <si>
    <t>Diâmetro (m)</t>
  </si>
  <si>
    <t>Área da Seção (m²)</t>
  </si>
  <si>
    <t>Vazão (m³/h)</t>
  </si>
  <si>
    <t>Velocidade do ar (m/s)</t>
  </si>
  <si>
    <t>Exaustão Copa</t>
  </si>
  <si>
    <t>Retangular - TDC</t>
  </si>
  <si>
    <t>Aço Galvanizado</t>
  </si>
  <si>
    <t>Flexível - Circular</t>
  </si>
  <si>
    <t>Alumínio</t>
  </si>
  <si>
    <t>Exaustão WC</t>
  </si>
  <si>
    <t>Renovação de Ar 01</t>
  </si>
  <si>
    <t>Todos</t>
  </si>
  <si>
    <t>Difusor Quadrado, 4 vias, Tamanho 4 (400 x 400 mm), com registro e Caixa Plena, bocal DN 150 mm</t>
  </si>
  <si>
    <t>Colarinho, DN 150 mm</t>
  </si>
  <si>
    <t>Comprimento</t>
  </si>
  <si>
    <t>Renovação de Ar 02</t>
  </si>
  <si>
    <t>Renovação de Ar 03</t>
  </si>
  <si>
    <t>Renovação de Ar 04</t>
  </si>
  <si>
    <t>Duto Flexível - Circular DN 150 mm</t>
  </si>
  <si>
    <t>Duto Retangular - TDC</t>
  </si>
  <si>
    <t>Total da Renovação de Ar</t>
  </si>
  <si>
    <t>Difusor Quadrado, 4 vias, Tamanho 1 (238 x 238 mm), com registro e Caixa Plena, bocal DN 134 mm</t>
  </si>
  <si>
    <t>Colarinho, DN 134 mm</t>
  </si>
  <si>
    <t>Duto Flexível - Circular DN 134 mm</t>
  </si>
  <si>
    <t>Total da Exaustão de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</si>
</sst>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0.000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scheme val="major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6" fillId="0" borderId="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0" fontId="6" fillId="0" borderId="0" xfId="2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3" fontId="6" fillId="0" borderId="0" xfId="2" applyNumberFormat="1" applyFont="1" applyAlignment="1">
      <alignment horizontal="center" vertical="center" wrapText="1"/>
    </xf>
    <xf numFmtId="2" fontId="6" fillId="0" borderId="4" xfId="2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3" fontId="6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164" fontId="11" fillId="0" borderId="20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8" fillId="0" borderId="24" xfId="0" applyNumberFormat="1" applyFont="1" applyBorder="1" applyAlignment="1">
      <alignment horizontal="center" vertical="center" wrapText="1"/>
    </xf>
    <xf numFmtId="164" fontId="11" fillId="0" borderId="25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165" fontId="6" fillId="0" borderId="31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43" fontId="6" fillId="0" borderId="0" xfId="0" applyNumberFormat="1" applyFont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5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21852</xdr:rowOff>
    </xdr:from>
    <xdr:to>
      <xdr:col>6</xdr:col>
      <xdr:colOff>228600</xdr:colOff>
      <xdr:row>0</xdr:row>
      <xdr:rowOff>406342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1F2823E-86C0-4347-B00F-C25D5B1F8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21852"/>
          <a:ext cx="1819275" cy="38449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66</xdr:row>
      <xdr:rowOff>21852</xdr:rowOff>
    </xdr:from>
    <xdr:to>
      <xdr:col>6</xdr:col>
      <xdr:colOff>228600</xdr:colOff>
      <xdr:row>66</xdr:row>
      <xdr:rowOff>406342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8362F4A-B870-4BC5-8134-129FA052ECD7}"/>
            </a:ext>
            <a:ext uri="{147F2762-F138-4A5C-976F-8EAC2B608ADB}">
              <a16:predDERef xmlns:a16="http://schemas.microsoft.com/office/drawing/2014/main" pred="{71F2823E-86C0-4347-B00F-C25D5B1F8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5" y="21443577"/>
          <a:ext cx="1819275" cy="3844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61</xdr:row>
      <xdr:rowOff>209551</xdr:rowOff>
    </xdr:from>
    <xdr:to>
      <xdr:col>1</xdr:col>
      <xdr:colOff>1543050</xdr:colOff>
      <xdr:row>62</xdr:row>
      <xdr:rowOff>60641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334736D-F050-4EF9-9E77-11E5C171F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9945351"/>
          <a:ext cx="1819275" cy="38449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0</xdr:row>
      <xdr:rowOff>21852</xdr:rowOff>
    </xdr:from>
    <xdr:to>
      <xdr:col>8</xdr:col>
      <xdr:colOff>276225</xdr:colOff>
      <xdr:row>0</xdr:row>
      <xdr:rowOff>406342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ECDDA64-54E7-41A1-B72C-EC0AFC614AFD}"/>
            </a:ext>
            <a:ext uri="{147F2762-F138-4A5C-976F-8EAC2B608ADB}">
              <a16:predDERef xmlns:a16="http://schemas.microsoft.com/office/drawing/2014/main" pred="{0334736D-F050-4EF9-9E77-11E5C171F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6675" y="21852"/>
          <a:ext cx="1819275" cy="384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DA2C-23D5-48E5-A446-93435FA04271}">
  <sheetPr filterMode="1">
    <pageSetUpPr fitToPage="1"/>
  </sheetPr>
  <dimension ref="A1:AC546"/>
  <sheetViews>
    <sheetView tabSelected="1" zoomScale="80" zoomScaleNormal="80" workbookViewId="0"/>
  </sheetViews>
  <sheetFormatPr defaultRowHeight="11.25" customHeight="1"/>
  <cols>
    <col min="1" max="1" width="6.28515625" style="7" customWidth="1"/>
    <col min="2" max="2" width="41.5703125" style="7" customWidth="1"/>
    <col min="3" max="3" width="15.42578125" style="7" customWidth="1"/>
    <col min="4" max="4" width="13.140625" style="7" customWidth="1"/>
    <col min="5" max="5" width="24.85546875" style="7" customWidth="1"/>
    <col min="6" max="6" width="9.7109375" style="7" customWidth="1"/>
    <col min="7" max="7" width="13.28515625" style="7" customWidth="1"/>
    <col min="8" max="13" width="13.140625" style="7" customWidth="1"/>
    <col min="14" max="14" width="15" style="7" customWidth="1"/>
    <col min="15" max="15" width="15.42578125" style="7" customWidth="1"/>
    <col min="16" max="21" width="13.140625" style="7" customWidth="1"/>
    <col min="22" max="27" width="11.7109375" style="7" customWidth="1"/>
    <col min="28" max="28" width="10" style="7" bestFit="1" customWidth="1"/>
    <col min="29" max="29" width="55.5703125" style="7" customWidth="1"/>
    <col min="30" max="16384" width="9.140625" style="7"/>
  </cols>
  <sheetData>
    <row r="1" spans="1:29" ht="21.9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>
        <f>(SUM(U3:U66)+SUM(U70:U77)+SUM(U81:U82))*3</f>
        <v>9637.5</v>
      </c>
      <c r="V1" s="5">
        <f>(SUM(V3:V66)+SUM(V70:V77)+SUM(V81:V82))*5</f>
        <v>2410</v>
      </c>
      <c r="W1" s="5">
        <f>(SUM(W3:W66)+SUM(W70:W77)+SUM(W81:W82))*5</f>
        <v>180</v>
      </c>
      <c r="X1" s="5">
        <f>(SUM(X3:X66)+SUM(X70:X77)+SUM(X81:X82))*5</f>
        <v>1400</v>
      </c>
      <c r="Y1" s="5">
        <f>(SUM(Y3:Y66)+SUM(Y70:Y77)+SUM(Y81:Y82))*5</f>
        <v>150</v>
      </c>
      <c r="Z1" s="5"/>
      <c r="AA1" s="6"/>
    </row>
    <row r="2" spans="1:29" s="13" customFormat="1" ht="60" customHeight="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9" t="s">
        <v>18</v>
      </c>
      <c r="S2" s="8"/>
      <c r="T2" s="9"/>
      <c r="U2" s="10">
        <v>2.5</v>
      </c>
      <c r="V2" s="11">
        <v>6</v>
      </c>
      <c r="W2" s="11">
        <v>10</v>
      </c>
      <c r="X2" s="11">
        <v>16</v>
      </c>
      <c r="Y2" s="11">
        <v>70</v>
      </c>
      <c r="Z2" s="11"/>
      <c r="AA2" s="12"/>
    </row>
    <row r="3" spans="1:29" s="22" customFormat="1" ht="30" customHeight="1">
      <c r="A3" s="14">
        <v>1</v>
      </c>
      <c r="B3" s="14" t="s">
        <v>19</v>
      </c>
      <c r="C3" s="14" t="s">
        <v>20</v>
      </c>
      <c r="D3" s="15">
        <v>2</v>
      </c>
      <c r="E3" s="14" t="s">
        <v>21</v>
      </c>
      <c r="F3" s="14" t="s">
        <v>22</v>
      </c>
      <c r="G3" s="14">
        <v>220</v>
      </c>
      <c r="H3" s="14" t="s">
        <v>23</v>
      </c>
      <c r="I3" s="16">
        <v>130</v>
      </c>
      <c r="J3" s="17">
        <v>0.8</v>
      </c>
      <c r="K3" s="17">
        <v>0.92</v>
      </c>
      <c r="L3" s="15">
        <f>(I3)/(G3*J3*K3)</f>
        <v>0.80286561264822132</v>
      </c>
      <c r="M3" s="18">
        <v>0.03</v>
      </c>
      <c r="N3" s="14">
        <v>58</v>
      </c>
      <c r="O3" s="15">
        <v>77.5</v>
      </c>
      <c r="P3" s="17">
        <f>((L3*(O3*2))/(N3*(G3*M3)))</f>
        <v>0.32508926321962989</v>
      </c>
      <c r="Q3" s="19">
        <v>2.5</v>
      </c>
      <c r="R3" s="16">
        <v>16</v>
      </c>
      <c r="S3" s="19"/>
      <c r="T3" s="16"/>
      <c r="U3" s="20">
        <f t="shared" ref="U3:U66" si="0">IF(Q3=2.5,O3,0)</f>
        <v>77.5</v>
      </c>
      <c r="V3" s="20">
        <f t="shared" ref="V3:V66" si="1">IF(Q3=6,O3,0)</f>
        <v>0</v>
      </c>
      <c r="W3" s="20">
        <f t="shared" ref="W3:W66" si="2">IF(Q3=10,O3,0)</f>
        <v>0</v>
      </c>
      <c r="X3" s="20">
        <f t="shared" ref="X3:X66" si="3">IF(Q3=16,O3,0)</f>
        <v>0</v>
      </c>
      <c r="Y3" s="20">
        <f t="shared" ref="Y3:Y66" si="4">IF(Q3=70,O3,0)</f>
        <v>0</v>
      </c>
      <c r="Z3" s="20"/>
      <c r="AA3" s="21"/>
      <c r="AC3" s="22" t="s">
        <v>24</v>
      </c>
    </row>
    <row r="4" spans="1:29" ht="30" customHeight="1">
      <c r="A4" s="14">
        <v>2</v>
      </c>
      <c r="B4" s="14" t="s">
        <v>25</v>
      </c>
      <c r="C4" s="14" t="s">
        <v>20</v>
      </c>
      <c r="D4" s="15">
        <v>2</v>
      </c>
      <c r="E4" s="14" t="s">
        <v>26</v>
      </c>
      <c r="F4" s="14" t="s">
        <v>22</v>
      </c>
      <c r="G4" s="14">
        <v>220</v>
      </c>
      <c r="H4" s="14" t="s">
        <v>23</v>
      </c>
      <c r="I4" s="16">
        <v>130</v>
      </c>
      <c r="J4" s="17">
        <v>0.8</v>
      </c>
      <c r="K4" s="17">
        <v>0.92</v>
      </c>
      <c r="L4" s="15">
        <f t="shared" ref="L4:L59" si="5">(I4)/(G4*J4*K4)</f>
        <v>0.80286561264822132</v>
      </c>
      <c r="M4" s="18">
        <v>0.03</v>
      </c>
      <c r="N4" s="14">
        <v>58</v>
      </c>
      <c r="O4" s="15">
        <v>68.75</v>
      </c>
      <c r="P4" s="17">
        <f t="shared" ref="P4:P59" si="6">((L4*(O4*2))/(N4*(G4*M4)))</f>
        <v>0.28838563672709105</v>
      </c>
      <c r="Q4" s="19">
        <v>2.5</v>
      </c>
      <c r="R4" s="16">
        <v>16</v>
      </c>
      <c r="S4" s="19"/>
      <c r="T4" s="16"/>
      <c r="U4" s="20">
        <f t="shared" si="0"/>
        <v>68.75</v>
      </c>
      <c r="V4" s="20">
        <f t="shared" si="1"/>
        <v>0</v>
      </c>
      <c r="W4" s="20">
        <f t="shared" si="2"/>
        <v>0</v>
      </c>
      <c r="X4" s="20">
        <f t="shared" si="3"/>
        <v>0</v>
      </c>
      <c r="Y4" s="20">
        <f t="shared" si="4"/>
        <v>0</v>
      </c>
      <c r="Z4" s="20"/>
      <c r="AA4" s="21"/>
      <c r="AC4" s="23"/>
    </row>
    <row r="5" spans="1:29" ht="30" customHeight="1">
      <c r="A5" s="14">
        <v>3</v>
      </c>
      <c r="B5" s="14" t="s">
        <v>27</v>
      </c>
      <c r="C5" s="14" t="s">
        <v>20</v>
      </c>
      <c r="D5" s="15">
        <v>2</v>
      </c>
      <c r="E5" s="14" t="s">
        <v>28</v>
      </c>
      <c r="F5" s="14" t="s">
        <v>22</v>
      </c>
      <c r="G5" s="14">
        <v>220</v>
      </c>
      <c r="H5" s="14" t="s">
        <v>23</v>
      </c>
      <c r="I5" s="16">
        <v>130</v>
      </c>
      <c r="J5" s="17">
        <v>0.8</v>
      </c>
      <c r="K5" s="17">
        <v>0.92</v>
      </c>
      <c r="L5" s="15">
        <f t="shared" si="5"/>
        <v>0.80286561264822132</v>
      </c>
      <c r="M5" s="18">
        <v>0.03</v>
      </c>
      <c r="N5" s="14">
        <v>58</v>
      </c>
      <c r="O5" s="15">
        <v>73.75</v>
      </c>
      <c r="P5" s="17">
        <f t="shared" si="6"/>
        <v>0.30935913757997036</v>
      </c>
      <c r="Q5" s="19">
        <v>2.5</v>
      </c>
      <c r="R5" s="16">
        <v>16</v>
      </c>
      <c r="S5" s="19"/>
      <c r="T5" s="16"/>
      <c r="U5" s="20">
        <f t="shared" si="0"/>
        <v>73.75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/>
      <c r="AA5" s="21"/>
      <c r="AC5" s="23"/>
    </row>
    <row r="6" spans="1:29" ht="30" customHeight="1">
      <c r="A6" s="14">
        <v>4</v>
      </c>
      <c r="B6" s="14" t="s">
        <v>29</v>
      </c>
      <c r="C6" s="14" t="s">
        <v>20</v>
      </c>
      <c r="D6" s="15">
        <v>2</v>
      </c>
      <c r="E6" s="14" t="s">
        <v>30</v>
      </c>
      <c r="F6" s="14" t="s">
        <v>22</v>
      </c>
      <c r="G6" s="14">
        <v>220</v>
      </c>
      <c r="H6" s="14" t="s">
        <v>23</v>
      </c>
      <c r="I6" s="16">
        <v>130</v>
      </c>
      <c r="J6" s="17">
        <v>0.8</v>
      </c>
      <c r="K6" s="17">
        <v>0.92</v>
      </c>
      <c r="L6" s="15">
        <f t="shared" si="5"/>
        <v>0.80286561264822132</v>
      </c>
      <c r="M6" s="18">
        <v>0.03</v>
      </c>
      <c r="N6" s="14">
        <v>58</v>
      </c>
      <c r="O6" s="15">
        <v>65</v>
      </c>
      <c r="P6" s="17">
        <f t="shared" si="6"/>
        <v>0.27265551108743152</v>
      </c>
      <c r="Q6" s="19">
        <v>2.5</v>
      </c>
      <c r="R6" s="16">
        <v>16</v>
      </c>
      <c r="S6" s="19"/>
      <c r="T6" s="16"/>
      <c r="U6" s="20">
        <f t="shared" si="0"/>
        <v>65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/>
      <c r="AA6" s="21"/>
      <c r="AC6" s="23"/>
    </row>
    <row r="7" spans="1:29" ht="30" customHeight="1">
      <c r="A7" s="14">
        <v>5</v>
      </c>
      <c r="B7" s="14" t="s">
        <v>31</v>
      </c>
      <c r="C7" s="14" t="s">
        <v>32</v>
      </c>
      <c r="D7" s="15">
        <v>1</v>
      </c>
      <c r="E7" s="14" t="s">
        <v>33</v>
      </c>
      <c r="F7" s="14" t="s">
        <v>22</v>
      </c>
      <c r="G7" s="14">
        <v>220</v>
      </c>
      <c r="H7" s="14" t="s">
        <v>23</v>
      </c>
      <c r="I7" s="16">
        <v>130</v>
      </c>
      <c r="J7" s="17">
        <v>0.8</v>
      </c>
      <c r="K7" s="17">
        <v>0.92</v>
      </c>
      <c r="L7" s="15">
        <f t="shared" si="5"/>
        <v>0.80286561264822132</v>
      </c>
      <c r="M7" s="18">
        <v>0.03</v>
      </c>
      <c r="N7" s="14">
        <v>58</v>
      </c>
      <c r="O7" s="15">
        <v>77.5</v>
      </c>
      <c r="P7" s="17">
        <f t="shared" si="6"/>
        <v>0.32508926321962989</v>
      </c>
      <c r="Q7" s="19">
        <v>2.5</v>
      </c>
      <c r="R7" s="16">
        <v>16</v>
      </c>
      <c r="S7" s="19"/>
      <c r="T7" s="16"/>
      <c r="U7" s="20">
        <f t="shared" si="0"/>
        <v>77.5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/>
      <c r="AA7" s="21"/>
      <c r="AC7" s="23"/>
    </row>
    <row r="8" spans="1:29" ht="30" customHeight="1">
      <c r="A8" s="14">
        <v>6</v>
      </c>
      <c r="B8" s="14" t="s">
        <v>34</v>
      </c>
      <c r="C8" s="14" t="s">
        <v>20</v>
      </c>
      <c r="D8" s="15">
        <v>1.5</v>
      </c>
      <c r="E8" s="14" t="s">
        <v>35</v>
      </c>
      <c r="F8" s="14" t="s">
        <v>22</v>
      </c>
      <c r="G8" s="14">
        <v>220</v>
      </c>
      <c r="H8" s="14" t="s">
        <v>23</v>
      </c>
      <c r="I8" s="16">
        <v>130</v>
      </c>
      <c r="J8" s="17">
        <v>0.8</v>
      </c>
      <c r="K8" s="17">
        <v>0.92</v>
      </c>
      <c r="L8" s="15">
        <f t="shared" si="5"/>
        <v>0.80286561264822132</v>
      </c>
      <c r="M8" s="18">
        <v>0.03</v>
      </c>
      <c r="N8" s="14">
        <v>58</v>
      </c>
      <c r="O8" s="15">
        <v>81.25</v>
      </c>
      <c r="P8" s="17">
        <f t="shared" si="6"/>
        <v>0.34081938885928942</v>
      </c>
      <c r="Q8" s="19">
        <v>2.5</v>
      </c>
      <c r="R8" s="16">
        <v>16</v>
      </c>
      <c r="S8" s="19"/>
      <c r="T8" s="16"/>
      <c r="U8" s="20">
        <f t="shared" si="0"/>
        <v>81.25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/>
      <c r="AA8" s="21"/>
      <c r="AC8" s="23"/>
    </row>
    <row r="9" spans="1:29" ht="30" customHeight="1">
      <c r="A9" s="14">
        <v>7</v>
      </c>
      <c r="B9" s="14" t="s">
        <v>36</v>
      </c>
      <c r="C9" s="14" t="s">
        <v>20</v>
      </c>
      <c r="D9" s="15">
        <v>1.5</v>
      </c>
      <c r="E9" s="14" t="s">
        <v>37</v>
      </c>
      <c r="F9" s="14" t="s">
        <v>22</v>
      </c>
      <c r="G9" s="14">
        <v>220</v>
      </c>
      <c r="H9" s="14" t="s">
        <v>23</v>
      </c>
      <c r="I9" s="16">
        <v>130</v>
      </c>
      <c r="J9" s="17">
        <v>0.8</v>
      </c>
      <c r="K9" s="17">
        <v>0.92</v>
      </c>
      <c r="L9" s="15">
        <f t="shared" si="5"/>
        <v>0.80286561264822132</v>
      </c>
      <c r="M9" s="18">
        <v>0.03</v>
      </c>
      <c r="N9" s="14">
        <v>58</v>
      </c>
      <c r="O9" s="15">
        <v>86.25</v>
      </c>
      <c r="P9" s="17">
        <f t="shared" si="6"/>
        <v>0.36179288971216877</v>
      </c>
      <c r="Q9" s="19">
        <v>2.5</v>
      </c>
      <c r="R9" s="16">
        <v>16</v>
      </c>
      <c r="S9" s="19"/>
      <c r="T9" s="16"/>
      <c r="U9" s="20">
        <f t="shared" si="0"/>
        <v>86.25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/>
      <c r="AA9" s="21"/>
      <c r="AC9" s="23"/>
    </row>
    <row r="10" spans="1:29" ht="30" customHeight="1">
      <c r="A10" s="14">
        <v>8</v>
      </c>
      <c r="B10" s="14" t="s">
        <v>38</v>
      </c>
      <c r="C10" s="14" t="s">
        <v>20</v>
      </c>
      <c r="D10" s="15">
        <v>1.5</v>
      </c>
      <c r="E10" s="14" t="s">
        <v>39</v>
      </c>
      <c r="F10" s="14" t="s">
        <v>22</v>
      </c>
      <c r="G10" s="14">
        <v>220</v>
      </c>
      <c r="H10" s="14" t="s">
        <v>23</v>
      </c>
      <c r="I10" s="16">
        <v>130</v>
      </c>
      <c r="J10" s="17">
        <v>0.8</v>
      </c>
      <c r="K10" s="17">
        <v>0.92</v>
      </c>
      <c r="L10" s="15">
        <f t="shared" si="5"/>
        <v>0.80286561264822132</v>
      </c>
      <c r="M10" s="18">
        <v>0.03</v>
      </c>
      <c r="N10" s="14">
        <v>58</v>
      </c>
      <c r="O10" s="15">
        <v>81.25</v>
      </c>
      <c r="P10" s="17">
        <f t="shared" si="6"/>
        <v>0.34081938885928942</v>
      </c>
      <c r="Q10" s="19">
        <v>2.5</v>
      </c>
      <c r="R10" s="16">
        <v>16</v>
      </c>
      <c r="S10" s="19"/>
      <c r="T10" s="16"/>
      <c r="U10" s="20">
        <f t="shared" si="0"/>
        <v>81.25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/>
      <c r="AA10" s="21"/>
    </row>
    <row r="11" spans="1:29" ht="30" customHeight="1">
      <c r="A11" s="14">
        <v>9</v>
      </c>
      <c r="B11" s="14" t="s">
        <v>40</v>
      </c>
      <c r="C11" s="14" t="s">
        <v>20</v>
      </c>
      <c r="D11" s="15">
        <v>1.5</v>
      </c>
      <c r="E11" s="14" t="s">
        <v>41</v>
      </c>
      <c r="F11" s="14" t="s">
        <v>22</v>
      </c>
      <c r="G11" s="14">
        <v>220</v>
      </c>
      <c r="H11" s="14" t="s">
        <v>23</v>
      </c>
      <c r="I11" s="16">
        <v>130</v>
      </c>
      <c r="J11" s="17">
        <v>0.8</v>
      </c>
      <c r="K11" s="17">
        <v>0.92</v>
      </c>
      <c r="L11" s="15">
        <f t="shared" si="5"/>
        <v>0.80286561264822132</v>
      </c>
      <c r="M11" s="18">
        <v>0.03</v>
      </c>
      <c r="N11" s="14">
        <v>58</v>
      </c>
      <c r="O11" s="15">
        <v>70</v>
      </c>
      <c r="P11" s="17">
        <f t="shared" si="6"/>
        <v>0.29362901194031088</v>
      </c>
      <c r="Q11" s="19">
        <v>2.5</v>
      </c>
      <c r="R11" s="16">
        <v>16</v>
      </c>
      <c r="S11" s="19"/>
      <c r="T11" s="16"/>
      <c r="U11" s="20">
        <f t="shared" si="0"/>
        <v>70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/>
      <c r="AA11" s="21"/>
    </row>
    <row r="12" spans="1:29" ht="30" customHeight="1">
      <c r="A12" s="14">
        <v>10</v>
      </c>
      <c r="B12" s="14" t="s">
        <v>42</v>
      </c>
      <c r="C12" s="14" t="s">
        <v>20</v>
      </c>
      <c r="D12" s="15">
        <v>1.5</v>
      </c>
      <c r="E12" s="14" t="s">
        <v>43</v>
      </c>
      <c r="F12" s="14" t="s">
        <v>22</v>
      </c>
      <c r="G12" s="14">
        <v>220</v>
      </c>
      <c r="H12" s="14" t="s">
        <v>23</v>
      </c>
      <c r="I12" s="16">
        <v>130</v>
      </c>
      <c r="J12" s="17">
        <v>0.8</v>
      </c>
      <c r="K12" s="17">
        <v>0.92</v>
      </c>
      <c r="L12" s="15">
        <f t="shared" si="5"/>
        <v>0.80286561264822132</v>
      </c>
      <c r="M12" s="18">
        <v>0.03</v>
      </c>
      <c r="N12" s="14">
        <v>58</v>
      </c>
      <c r="O12" s="15">
        <v>80</v>
      </c>
      <c r="P12" s="17">
        <f t="shared" si="6"/>
        <v>0.33557601364606954</v>
      </c>
      <c r="Q12" s="19">
        <v>2.5</v>
      </c>
      <c r="R12" s="16">
        <v>16</v>
      </c>
      <c r="S12" s="19"/>
      <c r="T12" s="16"/>
      <c r="U12" s="20">
        <f t="shared" si="0"/>
        <v>80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/>
      <c r="AA12" s="21"/>
    </row>
    <row r="13" spans="1:29" ht="30" customHeight="1">
      <c r="A13" s="14">
        <v>11</v>
      </c>
      <c r="B13" s="14" t="s">
        <v>44</v>
      </c>
      <c r="C13" s="14" t="s">
        <v>20</v>
      </c>
      <c r="D13" s="15">
        <v>1.5</v>
      </c>
      <c r="E13" s="14" t="s">
        <v>45</v>
      </c>
      <c r="F13" s="14" t="s">
        <v>22</v>
      </c>
      <c r="G13" s="14">
        <v>220</v>
      </c>
      <c r="H13" s="14" t="s">
        <v>23</v>
      </c>
      <c r="I13" s="16">
        <v>130</v>
      </c>
      <c r="J13" s="17">
        <v>0.8</v>
      </c>
      <c r="K13" s="17">
        <v>0.92</v>
      </c>
      <c r="L13" s="15">
        <f t="shared" si="5"/>
        <v>0.80286561264822132</v>
      </c>
      <c r="M13" s="18">
        <v>0.03</v>
      </c>
      <c r="N13" s="14">
        <v>58</v>
      </c>
      <c r="O13" s="15">
        <v>68.75</v>
      </c>
      <c r="P13" s="17">
        <f t="shared" si="6"/>
        <v>0.28838563672709105</v>
      </c>
      <c r="Q13" s="19">
        <v>2.5</v>
      </c>
      <c r="R13" s="16">
        <v>16</v>
      </c>
      <c r="S13" s="19"/>
      <c r="T13" s="16"/>
      <c r="U13" s="20">
        <f t="shared" si="0"/>
        <v>68.75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/>
      <c r="AA13" s="21"/>
    </row>
    <row r="14" spans="1:29" ht="30" customHeight="1">
      <c r="A14" s="14">
        <v>12</v>
      </c>
      <c r="B14" s="14" t="s">
        <v>46</v>
      </c>
      <c r="C14" s="14" t="s">
        <v>20</v>
      </c>
      <c r="D14" s="15">
        <v>2</v>
      </c>
      <c r="E14" s="14" t="s">
        <v>47</v>
      </c>
      <c r="F14" s="14" t="s">
        <v>22</v>
      </c>
      <c r="G14" s="14">
        <v>220</v>
      </c>
      <c r="H14" s="14" t="s">
        <v>23</v>
      </c>
      <c r="I14" s="16">
        <v>130</v>
      </c>
      <c r="J14" s="17">
        <v>0.8</v>
      </c>
      <c r="K14" s="17">
        <v>0.92</v>
      </c>
      <c r="L14" s="15">
        <f t="shared" si="5"/>
        <v>0.80286561264822132</v>
      </c>
      <c r="M14" s="18">
        <v>0.03</v>
      </c>
      <c r="N14" s="14">
        <v>58</v>
      </c>
      <c r="O14" s="15">
        <v>98.75</v>
      </c>
      <c r="P14" s="17">
        <f t="shared" si="6"/>
        <v>0.41422664184436714</v>
      </c>
      <c r="Q14" s="19">
        <v>2.5</v>
      </c>
      <c r="R14" s="16">
        <v>16</v>
      </c>
      <c r="S14" s="19"/>
      <c r="T14" s="16"/>
      <c r="U14" s="20">
        <f t="shared" si="0"/>
        <v>98.75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/>
      <c r="AA14" s="21"/>
    </row>
    <row r="15" spans="1:29" ht="30" customHeight="1">
      <c r="A15" s="14">
        <v>13</v>
      </c>
      <c r="B15" s="14" t="s">
        <v>48</v>
      </c>
      <c r="C15" s="14" t="s">
        <v>20</v>
      </c>
      <c r="D15" s="15">
        <v>1.5</v>
      </c>
      <c r="E15" s="14" t="s">
        <v>49</v>
      </c>
      <c r="F15" s="14" t="s">
        <v>22</v>
      </c>
      <c r="G15" s="14">
        <v>220</v>
      </c>
      <c r="H15" s="14" t="s">
        <v>23</v>
      </c>
      <c r="I15" s="16">
        <v>130</v>
      </c>
      <c r="J15" s="17">
        <v>0.8</v>
      </c>
      <c r="K15" s="17">
        <v>0.92</v>
      </c>
      <c r="L15" s="15">
        <f t="shared" si="5"/>
        <v>0.80286561264822132</v>
      </c>
      <c r="M15" s="18">
        <v>0.03</v>
      </c>
      <c r="N15" s="14">
        <v>58</v>
      </c>
      <c r="O15" s="15">
        <v>95</v>
      </c>
      <c r="P15" s="17">
        <f t="shared" si="6"/>
        <v>0.39849651620470761</v>
      </c>
      <c r="Q15" s="19">
        <v>2.5</v>
      </c>
      <c r="R15" s="16">
        <v>16</v>
      </c>
      <c r="S15" s="19"/>
      <c r="T15" s="16"/>
      <c r="U15" s="20">
        <f t="shared" si="0"/>
        <v>95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/>
      <c r="AA15" s="21"/>
    </row>
    <row r="16" spans="1:29" ht="30" customHeight="1">
      <c r="A16" s="14">
        <v>14</v>
      </c>
      <c r="B16" s="14" t="s">
        <v>50</v>
      </c>
      <c r="C16" s="14" t="s">
        <v>20</v>
      </c>
      <c r="D16" s="15">
        <v>1.5</v>
      </c>
      <c r="E16" s="14" t="s">
        <v>51</v>
      </c>
      <c r="F16" s="14" t="s">
        <v>22</v>
      </c>
      <c r="G16" s="14">
        <v>220</v>
      </c>
      <c r="H16" s="14" t="s">
        <v>23</v>
      </c>
      <c r="I16" s="16">
        <v>130</v>
      </c>
      <c r="J16" s="17">
        <v>0.8</v>
      </c>
      <c r="K16" s="17">
        <v>0.92</v>
      </c>
      <c r="L16" s="15">
        <f t="shared" si="5"/>
        <v>0.80286561264822132</v>
      </c>
      <c r="M16" s="18">
        <v>0.03</v>
      </c>
      <c r="N16" s="14">
        <v>58</v>
      </c>
      <c r="O16" s="15">
        <v>92.5</v>
      </c>
      <c r="P16" s="17">
        <f t="shared" si="6"/>
        <v>0.3880097657782679</v>
      </c>
      <c r="Q16" s="19">
        <v>2.5</v>
      </c>
      <c r="R16" s="16">
        <v>16</v>
      </c>
      <c r="S16" s="19"/>
      <c r="T16" s="16"/>
      <c r="U16" s="20">
        <f t="shared" si="0"/>
        <v>92.5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/>
      <c r="AA16" s="21"/>
    </row>
    <row r="17" spans="1:27" ht="30" customHeight="1">
      <c r="A17" s="14">
        <v>15</v>
      </c>
      <c r="B17" s="14" t="s">
        <v>52</v>
      </c>
      <c r="C17" s="14" t="s">
        <v>20</v>
      </c>
      <c r="D17" s="15">
        <v>1.5</v>
      </c>
      <c r="E17" s="14" t="s">
        <v>53</v>
      </c>
      <c r="F17" s="14" t="s">
        <v>22</v>
      </c>
      <c r="G17" s="14">
        <v>220</v>
      </c>
      <c r="H17" s="14" t="s">
        <v>23</v>
      </c>
      <c r="I17" s="16">
        <v>130</v>
      </c>
      <c r="J17" s="17">
        <v>0.8</v>
      </c>
      <c r="K17" s="17">
        <v>0.92</v>
      </c>
      <c r="L17" s="15">
        <f t="shared" si="5"/>
        <v>0.80286561264822132</v>
      </c>
      <c r="M17" s="18">
        <v>0.03</v>
      </c>
      <c r="N17" s="14">
        <v>58</v>
      </c>
      <c r="O17" s="15">
        <v>88.75</v>
      </c>
      <c r="P17" s="17">
        <f t="shared" si="6"/>
        <v>0.37227964013860843</v>
      </c>
      <c r="Q17" s="19">
        <v>2.5</v>
      </c>
      <c r="R17" s="16">
        <v>16</v>
      </c>
      <c r="S17" s="19"/>
      <c r="T17" s="16"/>
      <c r="U17" s="20">
        <f t="shared" si="0"/>
        <v>88.75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/>
      <c r="AA17" s="21"/>
    </row>
    <row r="18" spans="1:27" ht="30" customHeight="1">
      <c r="A18" s="14">
        <v>16</v>
      </c>
      <c r="B18" s="14" t="s">
        <v>54</v>
      </c>
      <c r="C18" s="14" t="s">
        <v>20</v>
      </c>
      <c r="D18" s="15">
        <v>1.5</v>
      </c>
      <c r="E18" s="14" t="s">
        <v>55</v>
      </c>
      <c r="F18" s="14" t="s">
        <v>22</v>
      </c>
      <c r="G18" s="14">
        <v>220</v>
      </c>
      <c r="H18" s="14" t="s">
        <v>23</v>
      </c>
      <c r="I18" s="16">
        <v>130</v>
      </c>
      <c r="J18" s="17">
        <v>0.8</v>
      </c>
      <c r="K18" s="17">
        <v>0.92</v>
      </c>
      <c r="L18" s="15">
        <f t="shared" si="5"/>
        <v>0.80286561264822132</v>
      </c>
      <c r="M18" s="18">
        <v>0.03</v>
      </c>
      <c r="N18" s="14">
        <v>58</v>
      </c>
      <c r="O18" s="15">
        <v>81.25</v>
      </c>
      <c r="P18" s="17">
        <f t="shared" si="6"/>
        <v>0.34081938885928942</v>
      </c>
      <c r="Q18" s="19">
        <v>2.5</v>
      </c>
      <c r="R18" s="16">
        <v>16</v>
      </c>
      <c r="S18" s="19"/>
      <c r="T18" s="16"/>
      <c r="U18" s="20">
        <f t="shared" si="0"/>
        <v>81.25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/>
      <c r="AA18" s="21"/>
    </row>
    <row r="19" spans="1:27" ht="30" customHeight="1">
      <c r="A19" s="14">
        <v>17</v>
      </c>
      <c r="B19" s="14" t="s">
        <v>56</v>
      </c>
      <c r="C19" s="14" t="s">
        <v>20</v>
      </c>
      <c r="D19" s="15">
        <v>1.5</v>
      </c>
      <c r="E19" s="14" t="s">
        <v>57</v>
      </c>
      <c r="F19" s="14" t="s">
        <v>22</v>
      </c>
      <c r="G19" s="14">
        <v>220</v>
      </c>
      <c r="H19" s="14" t="s">
        <v>23</v>
      </c>
      <c r="I19" s="16">
        <v>130</v>
      </c>
      <c r="J19" s="17">
        <v>0.8</v>
      </c>
      <c r="K19" s="17">
        <v>0.92</v>
      </c>
      <c r="L19" s="15">
        <f t="shared" si="5"/>
        <v>0.80286561264822132</v>
      </c>
      <c r="M19" s="18">
        <v>0.03</v>
      </c>
      <c r="N19" s="14">
        <v>58</v>
      </c>
      <c r="O19" s="15">
        <v>65</v>
      </c>
      <c r="P19" s="17">
        <f t="shared" si="6"/>
        <v>0.27265551108743152</v>
      </c>
      <c r="Q19" s="19">
        <v>2.5</v>
      </c>
      <c r="R19" s="16">
        <v>16</v>
      </c>
      <c r="S19" s="19"/>
      <c r="T19" s="16"/>
      <c r="U19" s="20">
        <f t="shared" si="0"/>
        <v>65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/>
      <c r="AA19" s="21"/>
    </row>
    <row r="20" spans="1:27" ht="30" customHeight="1">
      <c r="A20" s="14">
        <v>18</v>
      </c>
      <c r="B20" s="14" t="s">
        <v>58</v>
      </c>
      <c r="C20" s="14" t="s">
        <v>20</v>
      </c>
      <c r="D20" s="15">
        <v>1.5</v>
      </c>
      <c r="E20" s="14" t="s">
        <v>59</v>
      </c>
      <c r="F20" s="14" t="s">
        <v>22</v>
      </c>
      <c r="G20" s="14">
        <v>220</v>
      </c>
      <c r="H20" s="14" t="s">
        <v>23</v>
      </c>
      <c r="I20" s="16">
        <v>130</v>
      </c>
      <c r="J20" s="17">
        <v>0.8</v>
      </c>
      <c r="K20" s="17">
        <v>0.92</v>
      </c>
      <c r="L20" s="15">
        <f t="shared" si="5"/>
        <v>0.80286561264822132</v>
      </c>
      <c r="M20" s="18">
        <v>0.03</v>
      </c>
      <c r="N20" s="14">
        <v>58</v>
      </c>
      <c r="O20" s="15">
        <v>67.5</v>
      </c>
      <c r="P20" s="17">
        <f t="shared" si="6"/>
        <v>0.28314226151387117</v>
      </c>
      <c r="Q20" s="19">
        <v>2.5</v>
      </c>
      <c r="R20" s="16">
        <v>16</v>
      </c>
      <c r="S20" s="19"/>
      <c r="T20" s="16"/>
      <c r="U20" s="20">
        <f t="shared" si="0"/>
        <v>67.5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/>
      <c r="AA20" s="21"/>
    </row>
    <row r="21" spans="1:27" ht="30" customHeight="1">
      <c r="A21" s="14">
        <v>19</v>
      </c>
      <c r="B21" s="14" t="s">
        <v>60</v>
      </c>
      <c r="C21" s="14" t="s">
        <v>20</v>
      </c>
      <c r="D21" s="15">
        <v>4</v>
      </c>
      <c r="E21" s="14" t="s">
        <v>61</v>
      </c>
      <c r="F21" s="14" t="s">
        <v>22</v>
      </c>
      <c r="G21" s="14">
        <v>220</v>
      </c>
      <c r="H21" s="14" t="s">
        <v>23</v>
      </c>
      <c r="I21" s="16">
        <v>130</v>
      </c>
      <c r="J21" s="17">
        <v>0.8</v>
      </c>
      <c r="K21" s="17">
        <v>0.92</v>
      </c>
      <c r="L21" s="15">
        <f t="shared" si="5"/>
        <v>0.80286561264822132</v>
      </c>
      <c r="M21" s="18">
        <v>0.03</v>
      </c>
      <c r="N21" s="14">
        <v>58</v>
      </c>
      <c r="O21" s="15">
        <v>67.5</v>
      </c>
      <c r="P21" s="17">
        <f t="shared" si="6"/>
        <v>0.28314226151387117</v>
      </c>
      <c r="Q21" s="19">
        <v>2.5</v>
      </c>
      <c r="R21" s="16">
        <v>16</v>
      </c>
      <c r="S21" s="19"/>
      <c r="T21" s="16"/>
      <c r="U21" s="20">
        <f t="shared" si="0"/>
        <v>67.5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/>
      <c r="AA21" s="21"/>
    </row>
    <row r="22" spans="1:27" ht="30" customHeight="1">
      <c r="A22" s="14">
        <v>20</v>
      </c>
      <c r="B22" s="14" t="s">
        <v>62</v>
      </c>
      <c r="C22" s="14" t="s">
        <v>20</v>
      </c>
      <c r="D22" s="15">
        <v>4</v>
      </c>
      <c r="E22" s="14" t="s">
        <v>63</v>
      </c>
      <c r="F22" s="14" t="s">
        <v>22</v>
      </c>
      <c r="G22" s="14">
        <v>220</v>
      </c>
      <c r="H22" s="14" t="s">
        <v>23</v>
      </c>
      <c r="I22" s="16">
        <v>130</v>
      </c>
      <c r="J22" s="17">
        <v>0.8</v>
      </c>
      <c r="K22" s="17">
        <v>0.92</v>
      </c>
      <c r="L22" s="15">
        <f t="shared" si="5"/>
        <v>0.80286561264822132</v>
      </c>
      <c r="M22" s="18">
        <v>0.03</v>
      </c>
      <c r="N22" s="14">
        <v>58</v>
      </c>
      <c r="O22" s="15">
        <v>51.25</v>
      </c>
      <c r="P22" s="17">
        <f t="shared" si="6"/>
        <v>0.21497838374201331</v>
      </c>
      <c r="Q22" s="19">
        <v>2.5</v>
      </c>
      <c r="R22" s="16">
        <v>16</v>
      </c>
      <c r="S22" s="19"/>
      <c r="T22" s="16"/>
      <c r="U22" s="20">
        <f t="shared" si="0"/>
        <v>51.25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/>
      <c r="AA22" s="21"/>
    </row>
    <row r="23" spans="1:27" ht="30" customHeight="1">
      <c r="A23" s="14">
        <v>21</v>
      </c>
      <c r="B23" s="14" t="s">
        <v>64</v>
      </c>
      <c r="C23" s="14" t="s">
        <v>20</v>
      </c>
      <c r="D23" s="15">
        <v>4</v>
      </c>
      <c r="E23" s="14" t="s">
        <v>65</v>
      </c>
      <c r="F23" s="14" t="s">
        <v>22</v>
      </c>
      <c r="G23" s="14">
        <v>220</v>
      </c>
      <c r="H23" s="14" t="s">
        <v>23</v>
      </c>
      <c r="I23" s="16">
        <v>130</v>
      </c>
      <c r="J23" s="17">
        <v>0.8</v>
      </c>
      <c r="K23" s="17">
        <v>0.92</v>
      </c>
      <c r="L23" s="15">
        <f t="shared" si="5"/>
        <v>0.80286561264822132</v>
      </c>
      <c r="M23" s="18">
        <v>0.03</v>
      </c>
      <c r="N23" s="14">
        <v>58</v>
      </c>
      <c r="O23" s="15">
        <v>56.25</v>
      </c>
      <c r="P23" s="17">
        <f t="shared" si="6"/>
        <v>0.23595188459489264</v>
      </c>
      <c r="Q23" s="19">
        <v>2.5</v>
      </c>
      <c r="R23" s="16">
        <v>16</v>
      </c>
      <c r="S23" s="19"/>
      <c r="T23" s="16"/>
      <c r="U23" s="20">
        <f t="shared" si="0"/>
        <v>56.25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/>
      <c r="AA23" s="21"/>
    </row>
    <row r="24" spans="1:27" ht="30" customHeight="1">
      <c r="A24" s="14">
        <v>22</v>
      </c>
      <c r="B24" s="14" t="s">
        <v>66</v>
      </c>
      <c r="C24" s="14" t="s">
        <v>20</v>
      </c>
      <c r="D24" s="15">
        <v>4</v>
      </c>
      <c r="E24" s="14" t="s">
        <v>67</v>
      </c>
      <c r="F24" s="14" t="s">
        <v>22</v>
      </c>
      <c r="G24" s="14">
        <v>220</v>
      </c>
      <c r="H24" s="14" t="s">
        <v>23</v>
      </c>
      <c r="I24" s="16">
        <v>130</v>
      </c>
      <c r="J24" s="17">
        <v>0.8</v>
      </c>
      <c r="K24" s="17">
        <v>0.92</v>
      </c>
      <c r="L24" s="15">
        <f t="shared" si="5"/>
        <v>0.80286561264822132</v>
      </c>
      <c r="M24" s="18">
        <v>0.03</v>
      </c>
      <c r="N24" s="14">
        <v>58</v>
      </c>
      <c r="O24" s="15">
        <v>47.5</v>
      </c>
      <c r="P24" s="17">
        <f t="shared" si="6"/>
        <v>0.1992482581023538</v>
      </c>
      <c r="Q24" s="19">
        <v>2.5</v>
      </c>
      <c r="R24" s="16">
        <v>16</v>
      </c>
      <c r="S24" s="19"/>
      <c r="T24" s="16"/>
      <c r="U24" s="20">
        <f t="shared" si="0"/>
        <v>47.5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/>
      <c r="AA24" s="21"/>
    </row>
    <row r="25" spans="1:27" ht="30" customHeight="1">
      <c r="A25" s="14">
        <v>23</v>
      </c>
      <c r="B25" s="14" t="s">
        <v>68</v>
      </c>
      <c r="C25" s="14" t="s">
        <v>20</v>
      </c>
      <c r="D25" s="15">
        <v>4</v>
      </c>
      <c r="E25" s="14" t="s">
        <v>69</v>
      </c>
      <c r="F25" s="14" t="s">
        <v>22</v>
      </c>
      <c r="G25" s="14">
        <v>220</v>
      </c>
      <c r="H25" s="14" t="s">
        <v>23</v>
      </c>
      <c r="I25" s="16">
        <v>130</v>
      </c>
      <c r="J25" s="17">
        <v>0.8</v>
      </c>
      <c r="K25" s="17">
        <v>0.92</v>
      </c>
      <c r="L25" s="15">
        <f t="shared" si="5"/>
        <v>0.80286561264822132</v>
      </c>
      <c r="M25" s="18">
        <v>0.03</v>
      </c>
      <c r="N25" s="14">
        <v>58</v>
      </c>
      <c r="O25" s="15">
        <v>60</v>
      </c>
      <c r="P25" s="17">
        <f t="shared" si="6"/>
        <v>0.25168201023455217</v>
      </c>
      <c r="Q25" s="19">
        <v>2.5</v>
      </c>
      <c r="R25" s="16">
        <v>16</v>
      </c>
      <c r="S25" s="19"/>
      <c r="T25" s="16"/>
      <c r="U25" s="20">
        <f t="shared" si="0"/>
        <v>60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/>
      <c r="AA25" s="21"/>
    </row>
    <row r="26" spans="1:27" ht="30" customHeight="1">
      <c r="A26" s="14">
        <v>24</v>
      </c>
      <c r="B26" s="14" t="s">
        <v>70</v>
      </c>
      <c r="C26" s="14" t="s">
        <v>20</v>
      </c>
      <c r="D26" s="15">
        <v>4</v>
      </c>
      <c r="E26" s="14" t="s">
        <v>71</v>
      </c>
      <c r="F26" s="14" t="s">
        <v>22</v>
      </c>
      <c r="G26" s="14">
        <v>220</v>
      </c>
      <c r="H26" s="14" t="s">
        <v>23</v>
      </c>
      <c r="I26" s="16">
        <v>130</v>
      </c>
      <c r="J26" s="17">
        <v>0.8</v>
      </c>
      <c r="K26" s="17">
        <v>0.92</v>
      </c>
      <c r="L26" s="15">
        <f t="shared" si="5"/>
        <v>0.80286561264822132</v>
      </c>
      <c r="M26" s="18">
        <v>0.03</v>
      </c>
      <c r="N26" s="14">
        <v>58</v>
      </c>
      <c r="O26" s="15">
        <v>51.25</v>
      </c>
      <c r="P26" s="17">
        <f t="shared" si="6"/>
        <v>0.21497838374201331</v>
      </c>
      <c r="Q26" s="19">
        <v>2.5</v>
      </c>
      <c r="R26" s="16">
        <v>16</v>
      </c>
      <c r="S26" s="19"/>
      <c r="T26" s="16"/>
      <c r="U26" s="20">
        <f t="shared" si="0"/>
        <v>51.25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/>
      <c r="AA26" s="21"/>
    </row>
    <row r="27" spans="1:27" ht="30" customHeight="1">
      <c r="A27" s="14">
        <v>25</v>
      </c>
      <c r="B27" s="14" t="s">
        <v>72</v>
      </c>
      <c r="C27" s="14" t="s">
        <v>20</v>
      </c>
      <c r="D27" s="15">
        <v>4</v>
      </c>
      <c r="E27" s="14" t="s">
        <v>73</v>
      </c>
      <c r="F27" s="14" t="s">
        <v>22</v>
      </c>
      <c r="G27" s="14">
        <v>220</v>
      </c>
      <c r="H27" s="14" t="s">
        <v>23</v>
      </c>
      <c r="I27" s="16">
        <v>130</v>
      </c>
      <c r="J27" s="17">
        <v>0.8</v>
      </c>
      <c r="K27" s="17">
        <v>0.92</v>
      </c>
      <c r="L27" s="15">
        <f t="shared" si="5"/>
        <v>0.80286561264822132</v>
      </c>
      <c r="M27" s="18">
        <v>0.03</v>
      </c>
      <c r="N27" s="14">
        <v>58</v>
      </c>
      <c r="O27" s="15">
        <v>63.75</v>
      </c>
      <c r="P27" s="17">
        <f t="shared" si="6"/>
        <v>0.2674121358742117</v>
      </c>
      <c r="Q27" s="19">
        <v>2.5</v>
      </c>
      <c r="R27" s="16">
        <v>16</v>
      </c>
      <c r="S27" s="19"/>
      <c r="T27" s="16"/>
      <c r="U27" s="20">
        <f t="shared" si="0"/>
        <v>63.75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/>
      <c r="AA27" s="21"/>
    </row>
    <row r="28" spans="1:27" ht="30" customHeight="1">
      <c r="A28" s="14">
        <v>26</v>
      </c>
      <c r="B28" s="14" t="s">
        <v>74</v>
      </c>
      <c r="C28" s="14" t="s">
        <v>20</v>
      </c>
      <c r="D28" s="15">
        <v>4</v>
      </c>
      <c r="E28" s="14" t="s">
        <v>75</v>
      </c>
      <c r="F28" s="14" t="s">
        <v>22</v>
      </c>
      <c r="G28" s="14">
        <v>220</v>
      </c>
      <c r="H28" s="14" t="s">
        <v>23</v>
      </c>
      <c r="I28" s="16">
        <v>130</v>
      </c>
      <c r="J28" s="17">
        <v>0.8</v>
      </c>
      <c r="K28" s="17">
        <v>0.92</v>
      </c>
      <c r="L28" s="15">
        <f t="shared" si="5"/>
        <v>0.80286561264822132</v>
      </c>
      <c r="M28" s="18">
        <v>0.03</v>
      </c>
      <c r="N28" s="14">
        <v>58</v>
      </c>
      <c r="O28" s="15">
        <v>51.25</v>
      </c>
      <c r="P28" s="17">
        <f t="shared" si="6"/>
        <v>0.21497838374201331</v>
      </c>
      <c r="Q28" s="19">
        <v>2.5</v>
      </c>
      <c r="R28" s="16">
        <v>16</v>
      </c>
      <c r="S28" s="19"/>
      <c r="T28" s="16"/>
      <c r="U28" s="20">
        <f t="shared" si="0"/>
        <v>51.25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/>
      <c r="AA28" s="21"/>
    </row>
    <row r="29" spans="1:27" ht="30" customHeight="1">
      <c r="A29" s="14">
        <v>27</v>
      </c>
      <c r="B29" s="14" t="s">
        <v>76</v>
      </c>
      <c r="C29" s="14" t="s">
        <v>20</v>
      </c>
      <c r="D29" s="15">
        <v>4</v>
      </c>
      <c r="E29" s="14" t="s">
        <v>77</v>
      </c>
      <c r="F29" s="14" t="s">
        <v>22</v>
      </c>
      <c r="G29" s="14">
        <v>220</v>
      </c>
      <c r="H29" s="14" t="s">
        <v>23</v>
      </c>
      <c r="I29" s="16">
        <v>130</v>
      </c>
      <c r="J29" s="17">
        <v>0.8</v>
      </c>
      <c r="K29" s="17">
        <v>0.92</v>
      </c>
      <c r="L29" s="15">
        <f t="shared" si="5"/>
        <v>0.80286561264822132</v>
      </c>
      <c r="M29" s="18">
        <v>0.03</v>
      </c>
      <c r="N29" s="14">
        <v>58</v>
      </c>
      <c r="O29" s="15">
        <v>60</v>
      </c>
      <c r="P29" s="17">
        <f t="shared" si="6"/>
        <v>0.25168201023455217</v>
      </c>
      <c r="Q29" s="19">
        <v>2.5</v>
      </c>
      <c r="R29" s="16">
        <v>16</v>
      </c>
      <c r="S29" s="19"/>
      <c r="T29" s="16"/>
      <c r="U29" s="20">
        <f t="shared" si="0"/>
        <v>60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/>
      <c r="AA29" s="21"/>
    </row>
    <row r="30" spans="1:27" ht="30" customHeight="1">
      <c r="A30" s="14">
        <v>28</v>
      </c>
      <c r="B30" s="14" t="s">
        <v>78</v>
      </c>
      <c r="C30" s="14" t="s">
        <v>20</v>
      </c>
      <c r="D30" s="15">
        <v>4</v>
      </c>
      <c r="E30" s="14" t="s">
        <v>79</v>
      </c>
      <c r="F30" s="14" t="s">
        <v>22</v>
      </c>
      <c r="G30" s="14">
        <v>220</v>
      </c>
      <c r="H30" s="14" t="s">
        <v>23</v>
      </c>
      <c r="I30" s="16">
        <v>130</v>
      </c>
      <c r="J30" s="17">
        <v>0.8</v>
      </c>
      <c r="K30" s="17">
        <v>0.92</v>
      </c>
      <c r="L30" s="15">
        <f t="shared" si="5"/>
        <v>0.80286561264822132</v>
      </c>
      <c r="M30" s="18">
        <v>0.03</v>
      </c>
      <c r="N30" s="14">
        <v>58</v>
      </c>
      <c r="O30" s="15">
        <v>48.75</v>
      </c>
      <c r="P30" s="17">
        <f t="shared" si="6"/>
        <v>0.20449163331557363</v>
      </c>
      <c r="Q30" s="19">
        <v>2.5</v>
      </c>
      <c r="R30" s="16">
        <v>16</v>
      </c>
      <c r="S30" s="19"/>
      <c r="T30" s="16"/>
      <c r="U30" s="20">
        <f t="shared" si="0"/>
        <v>48.75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/>
      <c r="AA30" s="21"/>
    </row>
    <row r="31" spans="1:27" ht="30" customHeight="1">
      <c r="A31" s="14">
        <v>29</v>
      </c>
      <c r="B31" s="14" t="s">
        <v>80</v>
      </c>
      <c r="C31" s="14" t="s">
        <v>20</v>
      </c>
      <c r="D31" s="15">
        <v>4</v>
      </c>
      <c r="E31" s="14" t="s">
        <v>81</v>
      </c>
      <c r="F31" s="14" t="s">
        <v>22</v>
      </c>
      <c r="G31" s="14">
        <v>220</v>
      </c>
      <c r="H31" s="14" t="s">
        <v>23</v>
      </c>
      <c r="I31" s="16">
        <v>130</v>
      </c>
      <c r="J31" s="17">
        <v>0.8</v>
      </c>
      <c r="K31" s="17">
        <v>0.92</v>
      </c>
      <c r="L31" s="15">
        <f t="shared" si="5"/>
        <v>0.80286561264822132</v>
      </c>
      <c r="M31" s="18">
        <v>0.03</v>
      </c>
      <c r="N31" s="14">
        <v>58</v>
      </c>
      <c r="O31" s="15">
        <v>42.5</v>
      </c>
      <c r="P31" s="17">
        <f t="shared" si="6"/>
        <v>0.17827475724947445</v>
      </c>
      <c r="Q31" s="19">
        <v>2.5</v>
      </c>
      <c r="R31" s="16">
        <v>16</v>
      </c>
      <c r="S31" s="19"/>
      <c r="T31" s="16"/>
      <c r="U31" s="20">
        <f t="shared" si="0"/>
        <v>42.5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/>
      <c r="AA31" s="21"/>
    </row>
    <row r="32" spans="1:27" ht="30" customHeight="1">
      <c r="A32" s="14">
        <v>30</v>
      </c>
      <c r="B32" s="14" t="s">
        <v>82</v>
      </c>
      <c r="C32" s="14" t="s">
        <v>20</v>
      </c>
      <c r="D32" s="15">
        <v>2</v>
      </c>
      <c r="E32" s="14" t="s">
        <v>83</v>
      </c>
      <c r="F32" s="14" t="s">
        <v>22</v>
      </c>
      <c r="G32" s="14">
        <v>220</v>
      </c>
      <c r="H32" s="14" t="s">
        <v>23</v>
      </c>
      <c r="I32" s="16">
        <v>130</v>
      </c>
      <c r="J32" s="17">
        <v>0.8</v>
      </c>
      <c r="K32" s="17">
        <v>0.92</v>
      </c>
      <c r="L32" s="15">
        <f t="shared" si="5"/>
        <v>0.80286561264822132</v>
      </c>
      <c r="M32" s="18">
        <v>0.03</v>
      </c>
      <c r="N32" s="14">
        <v>58</v>
      </c>
      <c r="O32" s="15">
        <v>42.5</v>
      </c>
      <c r="P32" s="17">
        <f t="shared" si="6"/>
        <v>0.17827475724947445</v>
      </c>
      <c r="Q32" s="19">
        <v>2.5</v>
      </c>
      <c r="R32" s="16">
        <v>16</v>
      </c>
      <c r="S32" s="19"/>
      <c r="T32" s="16"/>
      <c r="U32" s="20">
        <f t="shared" si="0"/>
        <v>42.5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/>
      <c r="AA32" s="21"/>
    </row>
    <row r="33" spans="1:27" ht="30" customHeight="1">
      <c r="A33" s="14">
        <v>31</v>
      </c>
      <c r="B33" s="14" t="s">
        <v>84</v>
      </c>
      <c r="C33" s="14" t="s">
        <v>20</v>
      </c>
      <c r="D33" s="15">
        <v>2</v>
      </c>
      <c r="E33" s="14" t="s">
        <v>85</v>
      </c>
      <c r="F33" s="14" t="s">
        <v>22</v>
      </c>
      <c r="G33" s="14">
        <v>220</v>
      </c>
      <c r="H33" s="14" t="s">
        <v>23</v>
      </c>
      <c r="I33" s="16">
        <v>130</v>
      </c>
      <c r="J33" s="17">
        <v>0.8</v>
      </c>
      <c r="K33" s="17">
        <v>0.92</v>
      </c>
      <c r="L33" s="15">
        <f t="shared" si="5"/>
        <v>0.80286561264822132</v>
      </c>
      <c r="M33" s="18">
        <v>0.03</v>
      </c>
      <c r="N33" s="14">
        <v>58</v>
      </c>
      <c r="O33" s="15">
        <v>42.5</v>
      </c>
      <c r="P33" s="17">
        <f t="shared" si="6"/>
        <v>0.17827475724947445</v>
      </c>
      <c r="Q33" s="19">
        <v>2.5</v>
      </c>
      <c r="R33" s="16">
        <v>16</v>
      </c>
      <c r="S33" s="19"/>
      <c r="T33" s="16"/>
      <c r="U33" s="20">
        <f t="shared" si="0"/>
        <v>42.5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/>
      <c r="AA33" s="21"/>
    </row>
    <row r="34" spans="1:27" ht="30" customHeight="1">
      <c r="A34" s="14">
        <v>32</v>
      </c>
      <c r="B34" s="14" t="s">
        <v>86</v>
      </c>
      <c r="C34" s="14" t="s">
        <v>20</v>
      </c>
      <c r="D34" s="15">
        <v>2</v>
      </c>
      <c r="E34" s="14" t="s">
        <v>87</v>
      </c>
      <c r="F34" s="14" t="s">
        <v>22</v>
      </c>
      <c r="G34" s="14">
        <v>220</v>
      </c>
      <c r="H34" s="14" t="s">
        <v>23</v>
      </c>
      <c r="I34" s="16">
        <v>130</v>
      </c>
      <c r="J34" s="17">
        <v>0.8</v>
      </c>
      <c r="K34" s="17">
        <v>0.92</v>
      </c>
      <c r="L34" s="15">
        <f t="shared" si="5"/>
        <v>0.80286561264822132</v>
      </c>
      <c r="M34" s="18">
        <v>0.03</v>
      </c>
      <c r="N34" s="14">
        <v>58</v>
      </c>
      <c r="O34" s="15">
        <v>42.5</v>
      </c>
      <c r="P34" s="17">
        <f t="shared" si="6"/>
        <v>0.17827475724947445</v>
      </c>
      <c r="Q34" s="19">
        <v>2.5</v>
      </c>
      <c r="R34" s="16">
        <v>16</v>
      </c>
      <c r="S34" s="19"/>
      <c r="T34" s="16"/>
      <c r="U34" s="20">
        <f t="shared" si="0"/>
        <v>42.5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/>
      <c r="AA34" s="21"/>
    </row>
    <row r="35" spans="1:27" ht="30" customHeight="1">
      <c r="A35" s="14">
        <v>33</v>
      </c>
      <c r="B35" s="14" t="s">
        <v>88</v>
      </c>
      <c r="C35" s="14" t="s">
        <v>20</v>
      </c>
      <c r="D35" s="15">
        <v>2</v>
      </c>
      <c r="E35" s="14" t="s">
        <v>89</v>
      </c>
      <c r="F35" s="14" t="s">
        <v>22</v>
      </c>
      <c r="G35" s="14">
        <v>220</v>
      </c>
      <c r="H35" s="14" t="s">
        <v>23</v>
      </c>
      <c r="I35" s="16">
        <v>130</v>
      </c>
      <c r="J35" s="17">
        <v>0.8</v>
      </c>
      <c r="K35" s="17">
        <v>0.92</v>
      </c>
      <c r="L35" s="15">
        <f t="shared" si="5"/>
        <v>0.80286561264822132</v>
      </c>
      <c r="M35" s="18">
        <v>0.03</v>
      </c>
      <c r="N35" s="14">
        <v>58</v>
      </c>
      <c r="O35" s="15">
        <v>42.5</v>
      </c>
      <c r="P35" s="17">
        <f t="shared" si="6"/>
        <v>0.17827475724947445</v>
      </c>
      <c r="Q35" s="19">
        <v>2.5</v>
      </c>
      <c r="R35" s="16">
        <v>16</v>
      </c>
      <c r="S35" s="19"/>
      <c r="T35" s="16"/>
      <c r="U35" s="20">
        <f t="shared" si="0"/>
        <v>42.5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/>
      <c r="AA35" s="21"/>
    </row>
    <row r="36" spans="1:27" ht="30" customHeight="1">
      <c r="A36" s="14">
        <v>34</v>
      </c>
      <c r="B36" s="14" t="s">
        <v>90</v>
      </c>
      <c r="C36" s="14" t="s">
        <v>91</v>
      </c>
      <c r="D36" s="15">
        <v>1</v>
      </c>
      <c r="E36" s="14" t="s">
        <v>92</v>
      </c>
      <c r="F36" s="14" t="s">
        <v>22</v>
      </c>
      <c r="G36" s="14">
        <v>220</v>
      </c>
      <c r="H36" s="14" t="s">
        <v>23</v>
      </c>
      <c r="I36" s="16">
        <v>130</v>
      </c>
      <c r="J36" s="17">
        <v>0.8</v>
      </c>
      <c r="K36" s="17">
        <v>0.92</v>
      </c>
      <c r="L36" s="15">
        <f t="shared" si="5"/>
        <v>0.80286561264822132</v>
      </c>
      <c r="M36" s="18">
        <v>0.03</v>
      </c>
      <c r="N36" s="14">
        <v>58</v>
      </c>
      <c r="O36" s="15">
        <v>68.75</v>
      </c>
      <c r="P36" s="17">
        <f t="shared" si="6"/>
        <v>0.28838563672709105</v>
      </c>
      <c r="Q36" s="19">
        <v>2.5</v>
      </c>
      <c r="R36" s="16">
        <v>16</v>
      </c>
      <c r="S36" s="19"/>
      <c r="T36" s="16"/>
      <c r="U36" s="20">
        <f t="shared" si="0"/>
        <v>68.75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/>
      <c r="AA36" s="21"/>
    </row>
    <row r="37" spans="1:27" ht="30" customHeight="1">
      <c r="A37" s="14">
        <v>35</v>
      </c>
      <c r="B37" s="14" t="s">
        <v>93</v>
      </c>
      <c r="C37" s="14" t="s">
        <v>20</v>
      </c>
      <c r="D37" s="15">
        <v>1</v>
      </c>
      <c r="E37" s="14" t="s">
        <v>94</v>
      </c>
      <c r="F37" s="14" t="s">
        <v>22</v>
      </c>
      <c r="G37" s="14">
        <v>220</v>
      </c>
      <c r="H37" s="14" t="s">
        <v>23</v>
      </c>
      <c r="I37" s="16">
        <v>130</v>
      </c>
      <c r="J37" s="17">
        <v>0.8</v>
      </c>
      <c r="K37" s="17">
        <v>0.92</v>
      </c>
      <c r="L37" s="15">
        <f t="shared" si="5"/>
        <v>0.80286561264822132</v>
      </c>
      <c r="M37" s="18">
        <v>0.03</v>
      </c>
      <c r="N37" s="14">
        <v>58</v>
      </c>
      <c r="O37" s="15">
        <v>45</v>
      </c>
      <c r="P37" s="17">
        <f t="shared" si="6"/>
        <v>0.18876150767591413</v>
      </c>
      <c r="Q37" s="19">
        <v>2.5</v>
      </c>
      <c r="R37" s="16">
        <v>16</v>
      </c>
      <c r="S37" s="19"/>
      <c r="T37" s="16"/>
      <c r="U37" s="20">
        <f t="shared" si="0"/>
        <v>45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/>
      <c r="AA37" s="21"/>
    </row>
    <row r="38" spans="1:27" ht="30" customHeight="1">
      <c r="A38" s="14">
        <v>36</v>
      </c>
      <c r="B38" s="14" t="s">
        <v>95</v>
      </c>
      <c r="C38" s="14" t="s">
        <v>20</v>
      </c>
      <c r="D38" s="15">
        <v>1.5</v>
      </c>
      <c r="E38" s="14" t="s">
        <v>96</v>
      </c>
      <c r="F38" s="14" t="s">
        <v>22</v>
      </c>
      <c r="G38" s="14">
        <v>220</v>
      </c>
      <c r="H38" s="14" t="s">
        <v>23</v>
      </c>
      <c r="I38" s="16">
        <v>130</v>
      </c>
      <c r="J38" s="17">
        <v>0.8</v>
      </c>
      <c r="K38" s="17">
        <v>0.92</v>
      </c>
      <c r="L38" s="15">
        <f t="shared" si="5"/>
        <v>0.80286561264822132</v>
      </c>
      <c r="M38" s="18">
        <v>0.03</v>
      </c>
      <c r="N38" s="14">
        <v>58</v>
      </c>
      <c r="O38" s="15">
        <v>45</v>
      </c>
      <c r="P38" s="17">
        <f t="shared" si="6"/>
        <v>0.18876150767591413</v>
      </c>
      <c r="Q38" s="19">
        <v>2.5</v>
      </c>
      <c r="R38" s="16">
        <v>16</v>
      </c>
      <c r="S38" s="19"/>
      <c r="T38" s="16"/>
      <c r="U38" s="20">
        <f t="shared" si="0"/>
        <v>45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/>
      <c r="AA38" s="21"/>
    </row>
    <row r="39" spans="1:27" ht="30" customHeight="1">
      <c r="A39" s="14">
        <v>37</v>
      </c>
      <c r="B39" s="14" t="s">
        <v>97</v>
      </c>
      <c r="C39" s="14" t="s">
        <v>20</v>
      </c>
      <c r="D39" s="15">
        <v>2</v>
      </c>
      <c r="E39" s="14" t="s">
        <v>98</v>
      </c>
      <c r="F39" s="14" t="s">
        <v>22</v>
      </c>
      <c r="G39" s="14">
        <v>220</v>
      </c>
      <c r="H39" s="14" t="s">
        <v>23</v>
      </c>
      <c r="I39" s="16">
        <v>130</v>
      </c>
      <c r="J39" s="17">
        <v>0.8</v>
      </c>
      <c r="K39" s="17">
        <v>0.92</v>
      </c>
      <c r="L39" s="15">
        <f t="shared" si="5"/>
        <v>0.80286561264822132</v>
      </c>
      <c r="M39" s="18">
        <v>0.03</v>
      </c>
      <c r="N39" s="14">
        <v>58</v>
      </c>
      <c r="O39" s="15">
        <v>41.25</v>
      </c>
      <c r="P39" s="17">
        <f t="shared" si="6"/>
        <v>0.17303138203625462</v>
      </c>
      <c r="Q39" s="19">
        <v>2.5</v>
      </c>
      <c r="R39" s="16">
        <v>16</v>
      </c>
      <c r="S39" s="19"/>
      <c r="T39" s="16"/>
      <c r="U39" s="20">
        <f t="shared" si="0"/>
        <v>41.25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/>
      <c r="AA39" s="21"/>
    </row>
    <row r="40" spans="1:27" ht="30" customHeight="1">
      <c r="A40" s="14">
        <v>38</v>
      </c>
      <c r="B40" s="14" t="s">
        <v>99</v>
      </c>
      <c r="C40" s="14" t="s">
        <v>20</v>
      </c>
      <c r="D40" s="15">
        <v>1.5</v>
      </c>
      <c r="E40" s="14" t="s">
        <v>100</v>
      </c>
      <c r="F40" s="14" t="s">
        <v>22</v>
      </c>
      <c r="G40" s="14">
        <v>220</v>
      </c>
      <c r="H40" s="14" t="s">
        <v>23</v>
      </c>
      <c r="I40" s="16">
        <v>130</v>
      </c>
      <c r="J40" s="17">
        <v>0.8</v>
      </c>
      <c r="K40" s="17">
        <v>0.92</v>
      </c>
      <c r="L40" s="15">
        <f t="shared" si="5"/>
        <v>0.80286561264822132</v>
      </c>
      <c r="M40" s="18">
        <v>0.03</v>
      </c>
      <c r="N40" s="14">
        <v>58</v>
      </c>
      <c r="O40" s="15">
        <v>37.5</v>
      </c>
      <c r="P40" s="17">
        <f t="shared" si="6"/>
        <v>0.15730125639659512</v>
      </c>
      <c r="Q40" s="19">
        <v>2.5</v>
      </c>
      <c r="R40" s="16">
        <v>16</v>
      </c>
      <c r="S40" s="19"/>
      <c r="T40" s="16"/>
      <c r="U40" s="20">
        <f t="shared" si="0"/>
        <v>37.5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/>
      <c r="AA40" s="21"/>
    </row>
    <row r="41" spans="1:27" ht="30" customHeight="1">
      <c r="A41" s="14">
        <v>39</v>
      </c>
      <c r="B41" s="14" t="s">
        <v>101</v>
      </c>
      <c r="C41" s="14" t="s">
        <v>20</v>
      </c>
      <c r="D41" s="15">
        <v>1.5</v>
      </c>
      <c r="E41" s="14" t="s">
        <v>102</v>
      </c>
      <c r="F41" s="14" t="s">
        <v>22</v>
      </c>
      <c r="G41" s="14">
        <v>220</v>
      </c>
      <c r="H41" s="14" t="s">
        <v>23</v>
      </c>
      <c r="I41" s="16">
        <v>130</v>
      </c>
      <c r="J41" s="17">
        <v>0.8</v>
      </c>
      <c r="K41" s="17">
        <v>0.92</v>
      </c>
      <c r="L41" s="15">
        <f t="shared" si="5"/>
        <v>0.80286561264822132</v>
      </c>
      <c r="M41" s="18">
        <v>0.03</v>
      </c>
      <c r="N41" s="14">
        <v>58</v>
      </c>
      <c r="O41" s="15">
        <v>30</v>
      </c>
      <c r="P41" s="17">
        <f t="shared" si="6"/>
        <v>0.12584100511727608</v>
      </c>
      <c r="Q41" s="19">
        <v>2.5</v>
      </c>
      <c r="R41" s="16">
        <v>16</v>
      </c>
      <c r="S41" s="19"/>
      <c r="T41" s="16"/>
      <c r="U41" s="20">
        <f t="shared" si="0"/>
        <v>30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/>
      <c r="AA41" s="21"/>
    </row>
    <row r="42" spans="1:27" ht="30" customHeight="1">
      <c r="A42" s="14">
        <v>40</v>
      </c>
      <c r="B42" s="14" t="s">
        <v>103</v>
      </c>
      <c r="C42" s="14" t="s">
        <v>20</v>
      </c>
      <c r="D42" s="15">
        <v>1.5</v>
      </c>
      <c r="E42" s="14" t="s">
        <v>104</v>
      </c>
      <c r="F42" s="14" t="s">
        <v>22</v>
      </c>
      <c r="G42" s="14">
        <v>220</v>
      </c>
      <c r="H42" s="14" t="s">
        <v>23</v>
      </c>
      <c r="I42" s="16">
        <v>130</v>
      </c>
      <c r="J42" s="17">
        <v>0.8</v>
      </c>
      <c r="K42" s="17">
        <v>0.92</v>
      </c>
      <c r="L42" s="15">
        <f t="shared" si="5"/>
        <v>0.80286561264822132</v>
      </c>
      <c r="M42" s="18">
        <v>0.03</v>
      </c>
      <c r="N42" s="14">
        <v>58</v>
      </c>
      <c r="O42" s="15">
        <v>32.5</v>
      </c>
      <c r="P42" s="17">
        <f t="shared" si="6"/>
        <v>0.13632775554371576</v>
      </c>
      <c r="Q42" s="19">
        <v>2.5</v>
      </c>
      <c r="R42" s="16">
        <v>16</v>
      </c>
      <c r="S42" s="19"/>
      <c r="T42" s="16"/>
      <c r="U42" s="20">
        <f t="shared" si="0"/>
        <v>32.5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/>
      <c r="AA42" s="21"/>
    </row>
    <row r="43" spans="1:27" ht="30" customHeight="1">
      <c r="A43" s="14">
        <v>41</v>
      </c>
      <c r="B43" s="14" t="s">
        <v>105</v>
      </c>
      <c r="C43" s="14" t="s">
        <v>20</v>
      </c>
      <c r="D43" s="15">
        <v>2</v>
      </c>
      <c r="E43" s="14" t="s">
        <v>106</v>
      </c>
      <c r="F43" s="14" t="s">
        <v>22</v>
      </c>
      <c r="G43" s="14">
        <v>220</v>
      </c>
      <c r="H43" s="14" t="s">
        <v>23</v>
      </c>
      <c r="I43" s="16">
        <v>130</v>
      </c>
      <c r="J43" s="17">
        <v>0.8</v>
      </c>
      <c r="K43" s="17">
        <v>0.92</v>
      </c>
      <c r="L43" s="15">
        <f t="shared" si="5"/>
        <v>0.80286561264822132</v>
      </c>
      <c r="M43" s="18">
        <v>0.03</v>
      </c>
      <c r="N43" s="14">
        <v>58</v>
      </c>
      <c r="O43" s="15">
        <v>42.5</v>
      </c>
      <c r="P43" s="17">
        <f t="shared" si="6"/>
        <v>0.17827475724947445</v>
      </c>
      <c r="Q43" s="19">
        <v>2.5</v>
      </c>
      <c r="R43" s="16">
        <v>16</v>
      </c>
      <c r="S43" s="19"/>
      <c r="T43" s="16"/>
      <c r="U43" s="20">
        <f t="shared" si="0"/>
        <v>42.5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/>
      <c r="AA43" s="21"/>
    </row>
    <row r="44" spans="1:27" ht="30" customHeight="1">
      <c r="A44" s="14">
        <v>42</v>
      </c>
      <c r="B44" s="14" t="s">
        <v>107</v>
      </c>
      <c r="C44" s="14" t="s">
        <v>20</v>
      </c>
      <c r="D44" s="15">
        <v>2</v>
      </c>
      <c r="E44" s="14" t="s">
        <v>108</v>
      </c>
      <c r="F44" s="14" t="s">
        <v>22</v>
      </c>
      <c r="G44" s="14">
        <v>220</v>
      </c>
      <c r="H44" s="14" t="s">
        <v>23</v>
      </c>
      <c r="I44" s="16">
        <v>130</v>
      </c>
      <c r="J44" s="17">
        <v>0.8</v>
      </c>
      <c r="K44" s="17">
        <v>0.92</v>
      </c>
      <c r="L44" s="15">
        <f t="shared" si="5"/>
        <v>0.80286561264822132</v>
      </c>
      <c r="M44" s="18">
        <v>0.03</v>
      </c>
      <c r="N44" s="14">
        <v>58</v>
      </c>
      <c r="O44" s="15">
        <v>45</v>
      </c>
      <c r="P44" s="17">
        <f t="shared" si="6"/>
        <v>0.18876150767591413</v>
      </c>
      <c r="Q44" s="19">
        <v>2.5</v>
      </c>
      <c r="R44" s="16">
        <v>16</v>
      </c>
      <c r="S44" s="19"/>
      <c r="T44" s="16"/>
      <c r="U44" s="20">
        <f t="shared" si="0"/>
        <v>45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/>
      <c r="AA44" s="21"/>
    </row>
    <row r="45" spans="1:27" ht="30" customHeight="1">
      <c r="A45" s="14">
        <v>43</v>
      </c>
      <c r="B45" s="14" t="s">
        <v>109</v>
      </c>
      <c r="C45" s="14" t="s">
        <v>20</v>
      </c>
      <c r="D45" s="15">
        <v>1</v>
      </c>
      <c r="E45" s="14" t="s">
        <v>110</v>
      </c>
      <c r="F45" s="14" t="s">
        <v>22</v>
      </c>
      <c r="G45" s="14">
        <v>220</v>
      </c>
      <c r="H45" s="14" t="s">
        <v>23</v>
      </c>
      <c r="I45" s="16">
        <v>130</v>
      </c>
      <c r="J45" s="17">
        <v>0.8</v>
      </c>
      <c r="K45" s="17">
        <v>0.92</v>
      </c>
      <c r="L45" s="15">
        <f t="shared" si="5"/>
        <v>0.80286561264822132</v>
      </c>
      <c r="M45" s="18">
        <v>0.03</v>
      </c>
      <c r="N45" s="14">
        <v>58</v>
      </c>
      <c r="O45" s="15">
        <v>41.25</v>
      </c>
      <c r="P45" s="17">
        <f t="shared" si="6"/>
        <v>0.17303138203625462</v>
      </c>
      <c r="Q45" s="19">
        <v>2.5</v>
      </c>
      <c r="R45" s="16">
        <v>16</v>
      </c>
      <c r="S45" s="19"/>
      <c r="T45" s="16"/>
      <c r="U45" s="20">
        <f t="shared" si="0"/>
        <v>41.25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/>
      <c r="AA45" s="21"/>
    </row>
    <row r="46" spans="1:27" ht="30" customHeight="1">
      <c r="A46" s="14">
        <v>44</v>
      </c>
      <c r="B46" s="14" t="s">
        <v>111</v>
      </c>
      <c r="C46" s="14" t="s">
        <v>20</v>
      </c>
      <c r="D46" s="15">
        <v>1</v>
      </c>
      <c r="E46" s="14" t="s">
        <v>112</v>
      </c>
      <c r="F46" s="14" t="s">
        <v>22</v>
      </c>
      <c r="G46" s="14">
        <v>220</v>
      </c>
      <c r="H46" s="14" t="s">
        <v>23</v>
      </c>
      <c r="I46" s="16">
        <v>130</v>
      </c>
      <c r="J46" s="17">
        <v>0.8</v>
      </c>
      <c r="K46" s="17">
        <v>0.92</v>
      </c>
      <c r="L46" s="15">
        <f t="shared" si="5"/>
        <v>0.80286561264822132</v>
      </c>
      <c r="M46" s="18">
        <v>0.03</v>
      </c>
      <c r="N46" s="14">
        <v>58</v>
      </c>
      <c r="O46" s="15">
        <v>35</v>
      </c>
      <c r="P46" s="17">
        <f t="shared" si="6"/>
        <v>0.14681450597015544</v>
      </c>
      <c r="Q46" s="19">
        <v>2.5</v>
      </c>
      <c r="R46" s="16">
        <v>16</v>
      </c>
      <c r="S46" s="19"/>
      <c r="T46" s="16"/>
      <c r="U46" s="20">
        <f t="shared" si="0"/>
        <v>35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/>
      <c r="AA46" s="21"/>
    </row>
    <row r="47" spans="1:27" ht="30" customHeight="1">
      <c r="A47" s="14">
        <v>45</v>
      </c>
      <c r="B47" s="14" t="s">
        <v>113</v>
      </c>
      <c r="C47" s="14" t="s">
        <v>20</v>
      </c>
      <c r="D47" s="15">
        <v>1</v>
      </c>
      <c r="E47" s="14" t="s">
        <v>114</v>
      </c>
      <c r="F47" s="14" t="s">
        <v>22</v>
      </c>
      <c r="G47" s="14">
        <v>220</v>
      </c>
      <c r="H47" s="14" t="s">
        <v>23</v>
      </c>
      <c r="I47" s="16">
        <v>130</v>
      </c>
      <c r="J47" s="17">
        <v>0.8</v>
      </c>
      <c r="K47" s="17">
        <v>0.92</v>
      </c>
      <c r="L47" s="15">
        <f t="shared" si="5"/>
        <v>0.80286561264822132</v>
      </c>
      <c r="M47" s="18">
        <v>0.03</v>
      </c>
      <c r="N47" s="14">
        <v>58</v>
      </c>
      <c r="O47" s="15">
        <v>37.5</v>
      </c>
      <c r="P47" s="17">
        <f t="shared" si="6"/>
        <v>0.15730125639659512</v>
      </c>
      <c r="Q47" s="19">
        <v>2.5</v>
      </c>
      <c r="R47" s="16">
        <v>16</v>
      </c>
      <c r="S47" s="19"/>
      <c r="T47" s="16"/>
      <c r="U47" s="20">
        <f t="shared" si="0"/>
        <v>37.5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/>
      <c r="AA47" s="21"/>
    </row>
    <row r="48" spans="1:27" ht="30" customHeight="1">
      <c r="A48" s="14">
        <v>46</v>
      </c>
      <c r="B48" s="14" t="s">
        <v>115</v>
      </c>
      <c r="C48" s="14" t="s">
        <v>20</v>
      </c>
      <c r="D48" s="15">
        <v>2</v>
      </c>
      <c r="E48" s="14" t="s">
        <v>116</v>
      </c>
      <c r="F48" s="14" t="s">
        <v>22</v>
      </c>
      <c r="G48" s="14">
        <v>220</v>
      </c>
      <c r="H48" s="14" t="s">
        <v>23</v>
      </c>
      <c r="I48" s="16">
        <v>130</v>
      </c>
      <c r="J48" s="17">
        <v>0.8</v>
      </c>
      <c r="K48" s="17">
        <v>0.92</v>
      </c>
      <c r="L48" s="15">
        <f t="shared" si="5"/>
        <v>0.80286561264822132</v>
      </c>
      <c r="M48" s="18">
        <v>0.03</v>
      </c>
      <c r="N48" s="14">
        <v>58</v>
      </c>
      <c r="O48" s="15">
        <v>33.75</v>
      </c>
      <c r="P48" s="17">
        <f t="shared" si="6"/>
        <v>0.14157113075693559</v>
      </c>
      <c r="Q48" s="19">
        <v>2.5</v>
      </c>
      <c r="R48" s="16">
        <v>16</v>
      </c>
      <c r="S48" s="19"/>
      <c r="T48" s="16"/>
      <c r="U48" s="20">
        <f t="shared" si="0"/>
        <v>33.75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/>
      <c r="AA48" s="21"/>
    </row>
    <row r="49" spans="1:27" ht="30" customHeight="1">
      <c r="A49" s="14">
        <v>47</v>
      </c>
      <c r="B49" s="14" t="s">
        <v>117</v>
      </c>
      <c r="C49" s="14" t="s">
        <v>20</v>
      </c>
      <c r="D49" s="15">
        <v>1</v>
      </c>
      <c r="E49" s="14" t="s">
        <v>118</v>
      </c>
      <c r="F49" s="14" t="s">
        <v>22</v>
      </c>
      <c r="G49" s="14">
        <v>220</v>
      </c>
      <c r="H49" s="14" t="s">
        <v>23</v>
      </c>
      <c r="I49" s="16">
        <v>130</v>
      </c>
      <c r="J49" s="17">
        <v>0.8</v>
      </c>
      <c r="K49" s="17">
        <v>0.92</v>
      </c>
      <c r="L49" s="15">
        <f t="shared" si="5"/>
        <v>0.80286561264822132</v>
      </c>
      <c r="M49" s="18">
        <v>0.03</v>
      </c>
      <c r="N49" s="14">
        <v>58</v>
      </c>
      <c r="O49" s="15">
        <v>28.75</v>
      </c>
      <c r="P49" s="17">
        <f t="shared" si="6"/>
        <v>0.12059762990405624</v>
      </c>
      <c r="Q49" s="19">
        <v>2.5</v>
      </c>
      <c r="R49" s="16">
        <v>16</v>
      </c>
      <c r="S49" s="19"/>
      <c r="T49" s="16"/>
      <c r="U49" s="20">
        <f t="shared" si="0"/>
        <v>28.75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/>
      <c r="AA49" s="21"/>
    </row>
    <row r="50" spans="1:27" ht="30" customHeight="1">
      <c r="A50" s="14">
        <v>48</v>
      </c>
      <c r="B50" s="14" t="s">
        <v>119</v>
      </c>
      <c r="C50" s="14" t="s">
        <v>20</v>
      </c>
      <c r="D50" s="15">
        <v>1</v>
      </c>
      <c r="E50" s="14" t="s">
        <v>120</v>
      </c>
      <c r="F50" s="14" t="s">
        <v>22</v>
      </c>
      <c r="G50" s="14">
        <v>220</v>
      </c>
      <c r="H50" s="14" t="s">
        <v>23</v>
      </c>
      <c r="I50" s="16">
        <v>130</v>
      </c>
      <c r="J50" s="17">
        <v>0.8</v>
      </c>
      <c r="K50" s="17">
        <v>0.92</v>
      </c>
      <c r="L50" s="15">
        <f t="shared" si="5"/>
        <v>0.80286561264822132</v>
      </c>
      <c r="M50" s="18">
        <v>0.03</v>
      </c>
      <c r="N50" s="14">
        <v>58</v>
      </c>
      <c r="O50" s="15">
        <v>37.5</v>
      </c>
      <c r="P50" s="17">
        <f t="shared" si="6"/>
        <v>0.15730125639659512</v>
      </c>
      <c r="Q50" s="19">
        <v>2.5</v>
      </c>
      <c r="R50" s="16">
        <v>16</v>
      </c>
      <c r="S50" s="19"/>
      <c r="T50" s="16"/>
      <c r="U50" s="20">
        <f t="shared" si="0"/>
        <v>37.5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/>
      <c r="AA50" s="21"/>
    </row>
    <row r="51" spans="1:27" ht="30" customHeight="1">
      <c r="A51" s="14">
        <v>49</v>
      </c>
      <c r="B51" s="14" t="s">
        <v>121</v>
      </c>
      <c r="C51" s="14" t="s">
        <v>20</v>
      </c>
      <c r="D51" s="15">
        <v>1</v>
      </c>
      <c r="E51" s="14" t="s">
        <v>122</v>
      </c>
      <c r="F51" s="14" t="s">
        <v>22</v>
      </c>
      <c r="G51" s="14">
        <v>220</v>
      </c>
      <c r="H51" s="14" t="s">
        <v>23</v>
      </c>
      <c r="I51" s="16">
        <v>130</v>
      </c>
      <c r="J51" s="17">
        <v>0.8</v>
      </c>
      <c r="K51" s="17">
        <v>0.92</v>
      </c>
      <c r="L51" s="15">
        <f t="shared" si="5"/>
        <v>0.80286561264822132</v>
      </c>
      <c r="M51" s="18">
        <v>0.03</v>
      </c>
      <c r="N51" s="14">
        <v>58</v>
      </c>
      <c r="O51" s="15">
        <v>48.75</v>
      </c>
      <c r="P51" s="17">
        <f t="shared" si="6"/>
        <v>0.20449163331557363</v>
      </c>
      <c r="Q51" s="19">
        <v>2.5</v>
      </c>
      <c r="R51" s="16">
        <v>16</v>
      </c>
      <c r="S51" s="19"/>
      <c r="T51" s="16"/>
      <c r="U51" s="20">
        <f t="shared" si="0"/>
        <v>48.75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/>
      <c r="AA51" s="21"/>
    </row>
    <row r="52" spans="1:27" ht="30" customHeight="1">
      <c r="A52" s="14">
        <v>50</v>
      </c>
      <c r="B52" s="14" t="s">
        <v>123</v>
      </c>
      <c r="C52" s="14" t="s">
        <v>20</v>
      </c>
      <c r="D52" s="15">
        <v>1.5</v>
      </c>
      <c r="E52" s="14" t="s">
        <v>124</v>
      </c>
      <c r="F52" s="14" t="s">
        <v>22</v>
      </c>
      <c r="G52" s="14">
        <v>220</v>
      </c>
      <c r="H52" s="14" t="s">
        <v>23</v>
      </c>
      <c r="I52" s="16">
        <v>130</v>
      </c>
      <c r="J52" s="17">
        <v>0.8</v>
      </c>
      <c r="K52" s="17">
        <v>0.92</v>
      </c>
      <c r="L52" s="15">
        <f t="shared" si="5"/>
        <v>0.80286561264822132</v>
      </c>
      <c r="M52" s="18">
        <v>0.03</v>
      </c>
      <c r="N52" s="14">
        <v>58</v>
      </c>
      <c r="O52" s="15">
        <v>37.5</v>
      </c>
      <c r="P52" s="17">
        <f t="shared" si="6"/>
        <v>0.15730125639659512</v>
      </c>
      <c r="Q52" s="19">
        <v>2.5</v>
      </c>
      <c r="R52" s="16">
        <v>16</v>
      </c>
      <c r="S52" s="19"/>
      <c r="T52" s="16"/>
      <c r="U52" s="20">
        <f t="shared" si="0"/>
        <v>37.5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/>
      <c r="AA52" s="21"/>
    </row>
    <row r="53" spans="1:27" ht="30" customHeight="1">
      <c r="A53" s="14">
        <v>51</v>
      </c>
      <c r="B53" s="14" t="s">
        <v>125</v>
      </c>
      <c r="C53" s="14" t="s">
        <v>20</v>
      </c>
      <c r="D53" s="15">
        <v>1.5</v>
      </c>
      <c r="E53" s="14" t="s">
        <v>126</v>
      </c>
      <c r="F53" s="14" t="s">
        <v>22</v>
      </c>
      <c r="G53" s="14">
        <v>220</v>
      </c>
      <c r="H53" s="14" t="s">
        <v>23</v>
      </c>
      <c r="I53" s="16">
        <v>130</v>
      </c>
      <c r="J53" s="17">
        <v>0.8</v>
      </c>
      <c r="K53" s="17">
        <v>0.92</v>
      </c>
      <c r="L53" s="15">
        <f t="shared" si="5"/>
        <v>0.80286561264822132</v>
      </c>
      <c r="M53" s="18">
        <v>0.03</v>
      </c>
      <c r="N53" s="14">
        <v>58</v>
      </c>
      <c r="O53" s="15">
        <v>37.5</v>
      </c>
      <c r="P53" s="17">
        <f t="shared" si="6"/>
        <v>0.15730125639659512</v>
      </c>
      <c r="Q53" s="19">
        <v>2.5</v>
      </c>
      <c r="R53" s="16">
        <v>16</v>
      </c>
      <c r="S53" s="19"/>
      <c r="T53" s="16"/>
      <c r="U53" s="20">
        <f t="shared" si="0"/>
        <v>37.5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/>
      <c r="AA53" s="21"/>
    </row>
    <row r="54" spans="1:27" ht="30" customHeight="1">
      <c r="A54" s="14">
        <v>52</v>
      </c>
      <c r="B54" s="14" t="s">
        <v>127</v>
      </c>
      <c r="C54" s="14" t="s">
        <v>20</v>
      </c>
      <c r="D54" s="15">
        <v>1.5</v>
      </c>
      <c r="E54" s="14" t="s">
        <v>128</v>
      </c>
      <c r="F54" s="14" t="s">
        <v>22</v>
      </c>
      <c r="G54" s="14">
        <v>220</v>
      </c>
      <c r="H54" s="14" t="s">
        <v>23</v>
      </c>
      <c r="I54" s="16">
        <v>130</v>
      </c>
      <c r="J54" s="17">
        <v>0.8</v>
      </c>
      <c r="K54" s="17">
        <v>0.92</v>
      </c>
      <c r="L54" s="15">
        <f t="shared" si="5"/>
        <v>0.80286561264822132</v>
      </c>
      <c r="M54" s="18">
        <v>0.03</v>
      </c>
      <c r="N54" s="14">
        <v>58</v>
      </c>
      <c r="O54" s="15">
        <v>41.25</v>
      </c>
      <c r="P54" s="17">
        <f t="shared" si="6"/>
        <v>0.17303138203625462</v>
      </c>
      <c r="Q54" s="19">
        <v>2.5</v>
      </c>
      <c r="R54" s="16">
        <v>16</v>
      </c>
      <c r="S54" s="19"/>
      <c r="T54" s="16"/>
      <c r="U54" s="20">
        <f t="shared" si="0"/>
        <v>41.25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/>
      <c r="AA54" s="21"/>
    </row>
    <row r="55" spans="1:27" ht="30" customHeight="1">
      <c r="A55" s="14">
        <v>53</v>
      </c>
      <c r="B55" s="14" t="s">
        <v>129</v>
      </c>
      <c r="C55" s="14" t="s">
        <v>20</v>
      </c>
      <c r="D55" s="15">
        <v>1</v>
      </c>
      <c r="E55" s="14" t="s">
        <v>130</v>
      </c>
      <c r="F55" s="14" t="s">
        <v>22</v>
      </c>
      <c r="G55" s="14">
        <v>220</v>
      </c>
      <c r="H55" s="14" t="s">
        <v>23</v>
      </c>
      <c r="I55" s="16">
        <v>130</v>
      </c>
      <c r="J55" s="17">
        <v>0.8</v>
      </c>
      <c r="K55" s="17">
        <v>0.92</v>
      </c>
      <c r="L55" s="15">
        <f t="shared" si="5"/>
        <v>0.80286561264822132</v>
      </c>
      <c r="M55" s="18">
        <v>0.03</v>
      </c>
      <c r="N55" s="14">
        <v>58</v>
      </c>
      <c r="O55" s="15">
        <v>36.25</v>
      </c>
      <c r="P55" s="17">
        <f t="shared" si="6"/>
        <v>0.15205788118337527</v>
      </c>
      <c r="Q55" s="19">
        <v>2.5</v>
      </c>
      <c r="R55" s="16">
        <v>16</v>
      </c>
      <c r="S55" s="19"/>
      <c r="T55" s="16"/>
      <c r="U55" s="20">
        <f t="shared" si="0"/>
        <v>36.25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/>
      <c r="AA55" s="21"/>
    </row>
    <row r="56" spans="1:27" ht="30" customHeight="1">
      <c r="A56" s="14">
        <v>54</v>
      </c>
      <c r="B56" s="14" t="s">
        <v>131</v>
      </c>
      <c r="C56" s="14" t="s">
        <v>20</v>
      </c>
      <c r="D56" s="15">
        <v>1</v>
      </c>
      <c r="E56" s="14" t="s">
        <v>132</v>
      </c>
      <c r="F56" s="14" t="s">
        <v>22</v>
      </c>
      <c r="G56" s="14">
        <v>220</v>
      </c>
      <c r="H56" s="14" t="s">
        <v>23</v>
      </c>
      <c r="I56" s="16">
        <v>130</v>
      </c>
      <c r="J56" s="17">
        <v>0.8</v>
      </c>
      <c r="K56" s="17">
        <v>0.92</v>
      </c>
      <c r="L56" s="15">
        <f t="shared" si="5"/>
        <v>0.80286561264822132</v>
      </c>
      <c r="M56" s="18">
        <v>0.03</v>
      </c>
      <c r="N56" s="14">
        <v>58</v>
      </c>
      <c r="O56" s="15">
        <v>37.5</v>
      </c>
      <c r="P56" s="17">
        <f t="shared" si="6"/>
        <v>0.15730125639659512</v>
      </c>
      <c r="Q56" s="19">
        <v>2.5</v>
      </c>
      <c r="R56" s="16">
        <v>16</v>
      </c>
      <c r="S56" s="19"/>
      <c r="T56" s="16"/>
      <c r="U56" s="20">
        <f t="shared" si="0"/>
        <v>37.5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/>
      <c r="AA56" s="21"/>
    </row>
    <row r="57" spans="1:27" ht="30" customHeight="1">
      <c r="A57" s="14">
        <v>55</v>
      </c>
      <c r="B57" s="14" t="s">
        <v>133</v>
      </c>
      <c r="C57" s="14" t="s">
        <v>20</v>
      </c>
      <c r="D57" s="15">
        <v>1</v>
      </c>
      <c r="E57" s="14" t="s">
        <v>134</v>
      </c>
      <c r="F57" s="14" t="s">
        <v>22</v>
      </c>
      <c r="G57" s="14">
        <v>220</v>
      </c>
      <c r="H57" s="14" t="s">
        <v>23</v>
      </c>
      <c r="I57" s="16">
        <v>130</v>
      </c>
      <c r="J57" s="17">
        <v>0.8</v>
      </c>
      <c r="K57" s="17">
        <v>0.92</v>
      </c>
      <c r="L57" s="15">
        <f t="shared" si="5"/>
        <v>0.80286561264822132</v>
      </c>
      <c r="M57" s="18">
        <v>0.03</v>
      </c>
      <c r="N57" s="14">
        <v>58</v>
      </c>
      <c r="O57" s="15">
        <v>35</v>
      </c>
      <c r="P57" s="17">
        <f t="shared" si="6"/>
        <v>0.14681450597015544</v>
      </c>
      <c r="Q57" s="19">
        <v>2.5</v>
      </c>
      <c r="R57" s="16">
        <v>16</v>
      </c>
      <c r="S57" s="19"/>
      <c r="T57" s="16"/>
      <c r="U57" s="20">
        <f t="shared" si="0"/>
        <v>35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/>
      <c r="AA57" s="21"/>
    </row>
    <row r="58" spans="1:27" ht="30" customHeight="1">
      <c r="A58" s="14">
        <v>56</v>
      </c>
      <c r="B58" s="14" t="s">
        <v>135</v>
      </c>
      <c r="C58" s="14" t="s">
        <v>20</v>
      </c>
      <c r="D58" s="15">
        <v>1</v>
      </c>
      <c r="E58" s="14" t="s">
        <v>136</v>
      </c>
      <c r="F58" s="14" t="s">
        <v>22</v>
      </c>
      <c r="G58" s="14">
        <v>220</v>
      </c>
      <c r="H58" s="14" t="s">
        <v>23</v>
      </c>
      <c r="I58" s="16">
        <v>130</v>
      </c>
      <c r="J58" s="17">
        <v>0.8</v>
      </c>
      <c r="K58" s="17">
        <v>0.92</v>
      </c>
      <c r="L58" s="15">
        <f t="shared" si="5"/>
        <v>0.80286561264822132</v>
      </c>
      <c r="M58" s="18">
        <v>0.03</v>
      </c>
      <c r="N58" s="14">
        <v>58</v>
      </c>
      <c r="O58" s="15">
        <v>72.5</v>
      </c>
      <c r="P58" s="17">
        <f t="shared" si="6"/>
        <v>0.30411576236675053</v>
      </c>
      <c r="Q58" s="19">
        <v>2.5</v>
      </c>
      <c r="R58" s="16">
        <v>16</v>
      </c>
      <c r="S58" s="19"/>
      <c r="T58" s="16"/>
      <c r="U58" s="20">
        <f t="shared" si="0"/>
        <v>72.5</v>
      </c>
      <c r="V58" s="20">
        <f t="shared" si="1"/>
        <v>0</v>
      </c>
      <c r="W58" s="20">
        <f t="shared" si="2"/>
        <v>0</v>
      </c>
      <c r="X58" s="20">
        <f t="shared" si="3"/>
        <v>0</v>
      </c>
      <c r="Y58" s="20">
        <f t="shared" si="4"/>
        <v>0</v>
      </c>
      <c r="Z58" s="20"/>
      <c r="AA58" s="21"/>
    </row>
    <row r="59" spans="1:27" ht="30" customHeight="1">
      <c r="A59" s="14">
        <v>57</v>
      </c>
      <c r="B59" s="14" t="s">
        <v>137</v>
      </c>
      <c r="C59" s="14" t="s">
        <v>20</v>
      </c>
      <c r="D59" s="15">
        <v>1.5</v>
      </c>
      <c r="E59" s="14" t="s">
        <v>138</v>
      </c>
      <c r="F59" s="14" t="s">
        <v>22</v>
      </c>
      <c r="G59" s="14">
        <v>220</v>
      </c>
      <c r="H59" s="14" t="s">
        <v>23</v>
      </c>
      <c r="I59" s="16">
        <v>130</v>
      </c>
      <c r="J59" s="17">
        <v>0.8</v>
      </c>
      <c r="K59" s="17">
        <v>0.92</v>
      </c>
      <c r="L59" s="15">
        <f t="shared" si="5"/>
        <v>0.80286561264822132</v>
      </c>
      <c r="M59" s="18">
        <v>0.03</v>
      </c>
      <c r="N59" s="14">
        <v>58</v>
      </c>
      <c r="O59" s="15">
        <v>76.25</v>
      </c>
      <c r="P59" s="17">
        <f t="shared" si="6"/>
        <v>0.31984588800641006</v>
      </c>
      <c r="Q59" s="19">
        <v>2.5</v>
      </c>
      <c r="R59" s="16">
        <v>16</v>
      </c>
      <c r="S59" s="19"/>
      <c r="T59" s="16"/>
      <c r="U59" s="20">
        <f t="shared" si="0"/>
        <v>76.25</v>
      </c>
      <c r="V59" s="20">
        <f t="shared" si="1"/>
        <v>0</v>
      </c>
      <c r="W59" s="20">
        <f t="shared" si="2"/>
        <v>0</v>
      </c>
      <c r="X59" s="20">
        <f t="shared" si="3"/>
        <v>0</v>
      </c>
      <c r="Y59" s="20">
        <f t="shared" si="4"/>
        <v>0</v>
      </c>
      <c r="Z59" s="20"/>
      <c r="AA59" s="21"/>
    </row>
    <row r="60" spans="1:27" ht="30" customHeight="1">
      <c r="A60" s="14">
        <v>58</v>
      </c>
      <c r="B60" s="14" t="s">
        <v>139</v>
      </c>
      <c r="C60" s="14" t="s">
        <v>140</v>
      </c>
      <c r="D60" s="14" t="s">
        <v>141</v>
      </c>
      <c r="E60" s="14" t="s">
        <v>142</v>
      </c>
      <c r="F60" s="14" t="s">
        <v>22</v>
      </c>
      <c r="G60" s="14">
        <v>380</v>
      </c>
      <c r="H60" s="14" t="s">
        <v>143</v>
      </c>
      <c r="I60" s="16">
        <v>2200</v>
      </c>
      <c r="J60" s="17">
        <v>0.8</v>
      </c>
      <c r="K60" s="17">
        <v>0.92</v>
      </c>
      <c r="L60" s="15">
        <f t="shared" ref="L60:L63" si="7">(I60)/((3^0.5)*G60*J60*K60)</f>
        <v>4.5415138451701109</v>
      </c>
      <c r="M60" s="18">
        <v>0.03</v>
      </c>
      <c r="N60" s="14">
        <v>58</v>
      </c>
      <c r="O60" s="15">
        <v>90</v>
      </c>
      <c r="P60" s="17">
        <f>((L60*(O60*2))/(N60*(G60*M60)))</f>
        <v>1.2363467818067451</v>
      </c>
      <c r="Q60" s="24">
        <v>6</v>
      </c>
      <c r="R60" s="16">
        <v>10</v>
      </c>
      <c r="S60" s="24"/>
      <c r="T60" s="16"/>
      <c r="U60" s="20">
        <f t="shared" si="0"/>
        <v>0</v>
      </c>
      <c r="V60" s="20">
        <f t="shared" si="1"/>
        <v>90</v>
      </c>
      <c r="W60" s="20">
        <f t="shared" si="2"/>
        <v>0</v>
      </c>
      <c r="X60" s="20">
        <f t="shared" si="3"/>
        <v>0</v>
      </c>
      <c r="Y60" s="20">
        <f t="shared" si="4"/>
        <v>0</v>
      </c>
      <c r="Z60" s="20"/>
      <c r="AA60" s="21"/>
    </row>
    <row r="61" spans="1:27" ht="30" customHeight="1">
      <c r="A61" s="14">
        <v>59</v>
      </c>
      <c r="B61" s="14" t="s">
        <v>144</v>
      </c>
      <c r="C61" s="14" t="s">
        <v>145</v>
      </c>
      <c r="D61" s="14" t="s">
        <v>146</v>
      </c>
      <c r="E61" s="14" t="s">
        <v>147</v>
      </c>
      <c r="F61" s="14" t="s">
        <v>22</v>
      </c>
      <c r="G61" s="14">
        <v>380</v>
      </c>
      <c r="H61" s="14" t="s">
        <v>143</v>
      </c>
      <c r="I61" s="16">
        <v>1480</v>
      </c>
      <c r="J61" s="17">
        <v>0.8</v>
      </c>
      <c r="K61" s="17">
        <v>0.92</v>
      </c>
      <c r="L61" s="15">
        <f t="shared" si="7"/>
        <v>3.0552002231144382</v>
      </c>
      <c r="M61" s="18">
        <v>0.03</v>
      </c>
      <c r="N61" s="14">
        <v>58</v>
      </c>
      <c r="O61" s="15">
        <v>42</v>
      </c>
      <c r="P61" s="17">
        <f t="shared" ref="P61:P66" si="8">((L61*(O61*2))/(N61*(G61*M61)))</f>
        <v>0.38813795937932966</v>
      </c>
      <c r="Q61" s="24">
        <v>6</v>
      </c>
      <c r="R61" s="16">
        <v>10</v>
      </c>
      <c r="S61" s="24"/>
      <c r="T61" s="16"/>
      <c r="U61" s="20">
        <f t="shared" si="0"/>
        <v>0</v>
      </c>
      <c r="V61" s="20">
        <f t="shared" si="1"/>
        <v>42</v>
      </c>
      <c r="W61" s="20">
        <f t="shared" si="2"/>
        <v>0</v>
      </c>
      <c r="X61" s="20">
        <f t="shared" si="3"/>
        <v>0</v>
      </c>
      <c r="Y61" s="20">
        <f t="shared" si="4"/>
        <v>0</v>
      </c>
      <c r="Z61" s="20"/>
      <c r="AA61" s="21"/>
    </row>
    <row r="62" spans="1:27" ht="30" customHeight="1">
      <c r="A62" s="14">
        <v>60</v>
      </c>
      <c r="B62" s="14" t="s">
        <v>148</v>
      </c>
      <c r="C62" s="14" t="s">
        <v>149</v>
      </c>
      <c r="D62" s="14" t="s">
        <v>150</v>
      </c>
      <c r="E62" s="14" t="s">
        <v>151</v>
      </c>
      <c r="F62" s="14" t="s">
        <v>22</v>
      </c>
      <c r="G62" s="14">
        <v>380</v>
      </c>
      <c r="H62" s="14" t="s">
        <v>143</v>
      </c>
      <c r="I62" s="16">
        <v>1000</v>
      </c>
      <c r="J62" s="17">
        <v>0.8</v>
      </c>
      <c r="K62" s="17">
        <v>0.92</v>
      </c>
      <c r="L62" s="15">
        <f t="shared" si="7"/>
        <v>2.0643244750773233</v>
      </c>
      <c r="M62" s="18">
        <v>0.03</v>
      </c>
      <c r="N62" s="14">
        <v>58</v>
      </c>
      <c r="O62" s="15">
        <v>115</v>
      </c>
      <c r="P62" s="17">
        <f t="shared" si="8"/>
        <v>0.71808020155442276</v>
      </c>
      <c r="Q62" s="24">
        <v>6</v>
      </c>
      <c r="R62" s="16">
        <v>10</v>
      </c>
      <c r="S62" s="24"/>
      <c r="T62" s="16"/>
      <c r="U62" s="20">
        <f t="shared" si="0"/>
        <v>0</v>
      </c>
      <c r="V62" s="20">
        <f t="shared" si="1"/>
        <v>115</v>
      </c>
      <c r="W62" s="20">
        <f t="shared" si="2"/>
        <v>0</v>
      </c>
      <c r="X62" s="20">
        <f t="shared" si="3"/>
        <v>0</v>
      </c>
      <c r="Y62" s="20">
        <f t="shared" si="4"/>
        <v>0</v>
      </c>
      <c r="Z62" s="20"/>
      <c r="AA62" s="21"/>
    </row>
    <row r="63" spans="1:27" ht="30" customHeight="1">
      <c r="A63" s="14">
        <v>61</v>
      </c>
      <c r="B63" s="14" t="s">
        <v>152</v>
      </c>
      <c r="C63" s="14" t="s">
        <v>153</v>
      </c>
      <c r="D63" s="14" t="s">
        <v>154</v>
      </c>
      <c r="E63" s="14" t="s">
        <v>155</v>
      </c>
      <c r="F63" s="14" t="s">
        <v>22</v>
      </c>
      <c r="G63" s="14">
        <v>380</v>
      </c>
      <c r="H63" s="14" t="s">
        <v>143</v>
      </c>
      <c r="I63" s="16">
        <v>2200</v>
      </c>
      <c r="J63" s="17">
        <v>0.8</v>
      </c>
      <c r="K63" s="17">
        <v>0.92</v>
      </c>
      <c r="L63" s="15">
        <f t="shared" si="7"/>
        <v>4.5415138451701109</v>
      </c>
      <c r="M63" s="18">
        <v>0.03</v>
      </c>
      <c r="N63" s="14">
        <v>58</v>
      </c>
      <c r="O63" s="15">
        <v>53</v>
      </c>
      <c r="P63" s="17">
        <f t="shared" si="8"/>
        <v>0.72807088261952768</v>
      </c>
      <c r="Q63" s="24">
        <v>6</v>
      </c>
      <c r="R63" s="16">
        <v>10</v>
      </c>
      <c r="S63" s="24"/>
      <c r="T63" s="16"/>
      <c r="U63" s="20">
        <f t="shared" si="0"/>
        <v>0</v>
      </c>
      <c r="V63" s="20">
        <f t="shared" si="1"/>
        <v>53</v>
      </c>
      <c r="W63" s="20">
        <f t="shared" si="2"/>
        <v>0</v>
      </c>
      <c r="X63" s="20">
        <f t="shared" si="3"/>
        <v>0</v>
      </c>
      <c r="Y63" s="20">
        <f t="shared" si="4"/>
        <v>0</v>
      </c>
      <c r="Z63" s="20"/>
      <c r="AA63" s="21"/>
    </row>
    <row r="64" spans="1:27" ht="30" customHeight="1">
      <c r="A64" s="14">
        <v>62</v>
      </c>
      <c r="B64" s="14" t="s">
        <v>156</v>
      </c>
      <c r="C64" s="14" t="s">
        <v>156</v>
      </c>
      <c r="D64" s="14" t="s">
        <v>157</v>
      </c>
      <c r="E64" s="14" t="s">
        <v>158</v>
      </c>
      <c r="F64" s="14" t="s">
        <v>22</v>
      </c>
      <c r="G64" s="14">
        <v>380</v>
      </c>
      <c r="H64" s="14" t="s">
        <v>143</v>
      </c>
      <c r="I64" s="16">
        <v>1000</v>
      </c>
      <c r="J64" s="17">
        <v>0.8</v>
      </c>
      <c r="K64" s="17">
        <v>0.92</v>
      </c>
      <c r="L64" s="15">
        <f t="shared" ref="L64:L65" si="9">(I64)/(G64*J64*K64)</f>
        <v>3.5755148741418763</v>
      </c>
      <c r="M64" s="18">
        <v>0.03</v>
      </c>
      <c r="N64" s="14">
        <v>58</v>
      </c>
      <c r="O64" s="15">
        <v>132</v>
      </c>
      <c r="P64" s="17">
        <f t="shared" si="8"/>
        <v>1.4276102945757037</v>
      </c>
      <c r="Q64" s="24">
        <v>6</v>
      </c>
      <c r="R64" s="16">
        <v>10</v>
      </c>
      <c r="S64" s="24"/>
      <c r="T64" s="16"/>
      <c r="U64" s="20">
        <f t="shared" si="0"/>
        <v>0</v>
      </c>
      <c r="V64" s="20">
        <f t="shared" si="1"/>
        <v>132</v>
      </c>
      <c r="W64" s="20">
        <f t="shared" si="2"/>
        <v>0</v>
      </c>
      <c r="X64" s="20">
        <f t="shared" si="3"/>
        <v>0</v>
      </c>
      <c r="Y64" s="20">
        <f t="shared" si="4"/>
        <v>0</v>
      </c>
      <c r="Z64" s="20"/>
      <c r="AA64" s="21"/>
    </row>
    <row r="65" spans="1:27" ht="30" customHeight="1">
      <c r="A65" s="25">
        <v>63</v>
      </c>
      <c r="B65" s="25" t="s">
        <v>159</v>
      </c>
      <c r="C65" s="25" t="s">
        <v>159</v>
      </c>
      <c r="D65" s="25" t="s">
        <v>160</v>
      </c>
      <c r="E65" s="25" t="s">
        <v>161</v>
      </c>
      <c r="F65" s="25" t="s">
        <v>22</v>
      </c>
      <c r="G65" s="25">
        <v>380</v>
      </c>
      <c r="H65" s="25" t="s">
        <v>143</v>
      </c>
      <c r="I65" s="26">
        <v>2200</v>
      </c>
      <c r="J65" s="27">
        <v>0.8</v>
      </c>
      <c r="K65" s="27">
        <v>0.92</v>
      </c>
      <c r="L65" s="28">
        <f t="shared" si="9"/>
        <v>7.8661327231121279</v>
      </c>
      <c r="M65" s="29">
        <v>0.03</v>
      </c>
      <c r="N65" s="25">
        <v>58</v>
      </c>
      <c r="O65" s="28">
        <v>50</v>
      </c>
      <c r="P65" s="27">
        <f t="shared" si="8"/>
        <v>1.189675245479753</v>
      </c>
      <c r="Q65" s="30">
        <v>6</v>
      </c>
      <c r="R65" s="16">
        <v>10</v>
      </c>
      <c r="S65" s="30"/>
      <c r="T65" s="16"/>
      <c r="U65" s="20">
        <f t="shared" si="0"/>
        <v>0</v>
      </c>
      <c r="V65" s="20">
        <f t="shared" si="1"/>
        <v>50</v>
      </c>
      <c r="W65" s="20">
        <f t="shared" si="2"/>
        <v>0</v>
      </c>
      <c r="X65" s="20">
        <f t="shared" si="3"/>
        <v>0</v>
      </c>
      <c r="Y65" s="20">
        <f t="shared" si="4"/>
        <v>0</v>
      </c>
      <c r="Z65" s="20"/>
      <c r="AA65" s="21"/>
    </row>
    <row r="66" spans="1:27" ht="30" customHeight="1">
      <c r="A66" s="14">
        <v>64</v>
      </c>
      <c r="B66" s="14"/>
      <c r="C66" s="14"/>
      <c r="D66" s="14"/>
      <c r="E66" s="14" t="s">
        <v>162</v>
      </c>
      <c r="F66" s="14" t="s">
        <v>22</v>
      </c>
      <c r="G66" s="14">
        <v>220</v>
      </c>
      <c r="H66" s="14" t="s">
        <v>23</v>
      </c>
      <c r="I66" s="16">
        <v>3000</v>
      </c>
      <c r="J66" s="17">
        <v>0.8</v>
      </c>
      <c r="K66" s="17">
        <v>0.92</v>
      </c>
      <c r="L66" s="15">
        <f t="shared" ref="L66" si="10">(I66)/((3^0.5)*G66*J66*K66)</f>
        <v>10.696954098127948</v>
      </c>
      <c r="M66" s="18">
        <v>0.03</v>
      </c>
      <c r="N66" s="14">
        <v>58</v>
      </c>
      <c r="O66" s="15">
        <v>0</v>
      </c>
      <c r="P66" s="17">
        <f t="shared" si="8"/>
        <v>0</v>
      </c>
      <c r="Q66" s="24">
        <v>6</v>
      </c>
      <c r="R66" s="16">
        <v>16</v>
      </c>
      <c r="S66" s="24"/>
      <c r="T66" s="16"/>
      <c r="U66" s="20">
        <f t="shared" si="0"/>
        <v>0</v>
      </c>
      <c r="V66" s="20">
        <f t="shared" si="1"/>
        <v>0</v>
      </c>
      <c r="W66" s="20">
        <f t="shared" si="2"/>
        <v>0</v>
      </c>
      <c r="X66" s="20">
        <f t="shared" si="3"/>
        <v>0</v>
      </c>
      <c r="Y66" s="20">
        <f t="shared" si="4"/>
        <v>0</v>
      </c>
      <c r="Z66" s="20"/>
      <c r="AA66" s="21"/>
    </row>
    <row r="67" spans="1:27" ht="30" customHeight="1">
      <c r="I67" s="21"/>
      <c r="J67" s="31"/>
      <c r="K67" s="31"/>
      <c r="L67" s="20"/>
      <c r="M67" s="32"/>
      <c r="P67" s="31"/>
      <c r="Q67" s="33"/>
      <c r="R67" s="34"/>
      <c r="S67" s="35"/>
      <c r="T67" s="21"/>
      <c r="U67" s="20"/>
      <c r="V67" s="20"/>
      <c r="W67" s="20"/>
      <c r="X67" s="20"/>
      <c r="Y67" s="20"/>
      <c r="Z67" s="21"/>
      <c r="AA67" s="21"/>
    </row>
    <row r="68" spans="1:27" ht="30" customHeight="1">
      <c r="A68" s="36"/>
      <c r="B68" s="37" t="s">
        <v>163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9"/>
      <c r="R68" s="39"/>
      <c r="S68" s="38"/>
      <c r="T68" s="40"/>
      <c r="U68" s="20"/>
      <c r="V68" s="20"/>
      <c r="W68" s="20"/>
      <c r="X68" s="20"/>
      <c r="Y68" s="20"/>
      <c r="Z68" s="21"/>
      <c r="AA68" s="6"/>
    </row>
    <row r="69" spans="1:27" ht="60" customHeight="1">
      <c r="A69" s="41" t="s">
        <v>1</v>
      </c>
      <c r="B69" s="41" t="s">
        <v>2</v>
      </c>
      <c r="C69" s="41" t="s">
        <v>3</v>
      </c>
      <c r="D69" s="41" t="s">
        <v>4</v>
      </c>
      <c r="E69" s="41" t="s">
        <v>5</v>
      </c>
      <c r="F69" s="41" t="s">
        <v>6</v>
      </c>
      <c r="G69" s="41" t="s">
        <v>7</v>
      </c>
      <c r="H69" s="41" t="s">
        <v>8</v>
      </c>
      <c r="I69" s="41" t="s">
        <v>9</v>
      </c>
      <c r="J69" s="41" t="s">
        <v>10</v>
      </c>
      <c r="K69" s="41" t="s">
        <v>11</v>
      </c>
      <c r="L69" s="41" t="s">
        <v>12</v>
      </c>
      <c r="M69" s="41" t="s">
        <v>13</v>
      </c>
      <c r="N69" s="41" t="s">
        <v>14</v>
      </c>
      <c r="O69" s="41" t="s">
        <v>15</v>
      </c>
      <c r="P69" s="41" t="s">
        <v>16</v>
      </c>
      <c r="Q69" s="41" t="s">
        <v>17</v>
      </c>
      <c r="R69" s="41" t="s">
        <v>18</v>
      </c>
      <c r="S69" s="41"/>
      <c r="T69" s="41"/>
      <c r="U69" s="20">
        <f t="shared" ref="U69:U82" si="11">IF(Q69=2.5,O69,0)</f>
        <v>0</v>
      </c>
      <c r="V69" s="20">
        <f t="shared" ref="V69:V82" si="12">IF(Q69=6,O69,0)</f>
        <v>0</v>
      </c>
      <c r="W69" s="20">
        <f t="shared" ref="W69:W82" si="13">IF(Q69=10,O69,0)</f>
        <v>0</v>
      </c>
      <c r="X69" s="20">
        <f t="shared" ref="X69:X82" si="14">IF(Q69=16,O69,0)</f>
        <v>0</v>
      </c>
      <c r="Y69" s="20">
        <f t="shared" ref="Y69:Y82" si="15">IF(Q69=70,O69,0)</f>
        <v>0</v>
      </c>
      <c r="Z69" s="21"/>
      <c r="AA69" s="22"/>
    </row>
    <row r="70" spans="1:27" ht="60" customHeight="1">
      <c r="A70" s="14">
        <f>A66+1</f>
        <v>65</v>
      </c>
      <c r="B70" s="14" t="s">
        <v>164</v>
      </c>
      <c r="C70" s="14" t="s">
        <v>165</v>
      </c>
      <c r="D70" s="14">
        <v>28</v>
      </c>
      <c r="E70" s="14"/>
      <c r="F70" s="14" t="s">
        <v>166</v>
      </c>
      <c r="G70" s="14">
        <v>380</v>
      </c>
      <c r="H70" s="14" t="s">
        <v>143</v>
      </c>
      <c r="I70" s="14">
        <v>28610</v>
      </c>
      <c r="J70" s="17">
        <v>0.9</v>
      </c>
      <c r="K70" s="17">
        <v>0.96</v>
      </c>
      <c r="L70" s="15">
        <f t="shared" ref="L70:L77" si="16">(I70)/((3^0.5)*G70*J70*K70)</f>
        <v>50.310645716115971</v>
      </c>
      <c r="M70" s="18">
        <v>0.02</v>
      </c>
      <c r="N70" s="14">
        <v>58</v>
      </c>
      <c r="O70" s="15">
        <v>56</v>
      </c>
      <c r="P70" s="17">
        <f t="shared" ref="P70:P73" si="17">((L70*(O70*2))/(N70*(G70*M70)))</f>
        <v>12.783104174693714</v>
      </c>
      <c r="Q70" s="19">
        <v>16</v>
      </c>
      <c r="R70" s="16">
        <v>63</v>
      </c>
      <c r="S70" s="19"/>
      <c r="T70" s="16"/>
      <c r="U70" s="20">
        <f t="shared" si="11"/>
        <v>0</v>
      </c>
      <c r="V70" s="20">
        <f t="shared" si="12"/>
        <v>0</v>
      </c>
      <c r="W70" s="20">
        <f t="shared" si="13"/>
        <v>0</v>
      </c>
      <c r="X70" s="20">
        <f t="shared" si="14"/>
        <v>56</v>
      </c>
      <c r="Y70" s="20">
        <f t="shared" si="15"/>
        <v>0</v>
      </c>
      <c r="Z70" s="20"/>
      <c r="AA70" s="21"/>
    </row>
    <row r="71" spans="1:27" ht="60" customHeight="1">
      <c r="A71" s="14">
        <f>A70+1</f>
        <v>66</v>
      </c>
      <c r="B71" s="14" t="s">
        <v>167</v>
      </c>
      <c r="C71" s="14" t="s">
        <v>165</v>
      </c>
      <c r="D71" s="14">
        <v>28</v>
      </c>
      <c r="E71" s="14"/>
      <c r="F71" s="14" t="s">
        <v>166</v>
      </c>
      <c r="G71" s="14">
        <v>380</v>
      </c>
      <c r="H71" s="14" t="s">
        <v>143</v>
      </c>
      <c r="I71" s="14">
        <v>28610</v>
      </c>
      <c r="J71" s="17">
        <v>0.9</v>
      </c>
      <c r="K71" s="17">
        <v>0.96</v>
      </c>
      <c r="L71" s="15">
        <f t="shared" si="16"/>
        <v>50.310645716115971</v>
      </c>
      <c r="M71" s="18">
        <v>0.02</v>
      </c>
      <c r="N71" s="14">
        <v>58</v>
      </c>
      <c r="O71" s="15">
        <v>56</v>
      </c>
      <c r="P71" s="17">
        <f t="shared" si="17"/>
        <v>12.783104174693714</v>
      </c>
      <c r="Q71" s="19">
        <v>16</v>
      </c>
      <c r="R71" s="16">
        <v>63</v>
      </c>
      <c r="S71" s="19"/>
      <c r="T71" s="16"/>
      <c r="U71" s="20">
        <f t="shared" si="11"/>
        <v>0</v>
      </c>
      <c r="V71" s="20">
        <f t="shared" si="12"/>
        <v>0</v>
      </c>
      <c r="W71" s="20">
        <f t="shared" si="13"/>
        <v>0</v>
      </c>
      <c r="X71" s="20">
        <f t="shared" si="14"/>
        <v>56</v>
      </c>
      <c r="Y71" s="20">
        <f t="shared" si="15"/>
        <v>0</v>
      </c>
      <c r="Z71" s="20"/>
      <c r="AA71" s="21"/>
    </row>
    <row r="72" spans="1:27" ht="60" customHeight="1">
      <c r="A72" s="14">
        <f t="shared" ref="A72:A77" si="18">A71+1</f>
        <v>67</v>
      </c>
      <c r="B72" s="14" t="s">
        <v>168</v>
      </c>
      <c r="C72" s="14" t="s">
        <v>165</v>
      </c>
      <c r="D72" s="14">
        <v>28</v>
      </c>
      <c r="E72" s="14"/>
      <c r="F72" s="14" t="s">
        <v>166</v>
      </c>
      <c r="G72" s="14">
        <v>380</v>
      </c>
      <c r="H72" s="14" t="s">
        <v>143</v>
      </c>
      <c r="I72" s="14">
        <v>28610</v>
      </c>
      <c r="J72" s="17">
        <v>0.9</v>
      </c>
      <c r="K72" s="17">
        <v>0.96</v>
      </c>
      <c r="L72" s="15">
        <f t="shared" si="16"/>
        <v>50.310645716115971</v>
      </c>
      <c r="M72" s="18">
        <v>0.02</v>
      </c>
      <c r="N72" s="14">
        <v>58</v>
      </c>
      <c r="O72" s="15">
        <v>56</v>
      </c>
      <c r="P72" s="17">
        <f t="shared" si="17"/>
        <v>12.783104174693714</v>
      </c>
      <c r="Q72" s="19">
        <v>16</v>
      </c>
      <c r="R72" s="16">
        <v>63</v>
      </c>
      <c r="S72" s="19"/>
      <c r="T72" s="16"/>
      <c r="U72" s="20">
        <f t="shared" si="11"/>
        <v>0</v>
      </c>
      <c r="V72" s="20">
        <f t="shared" si="12"/>
        <v>0</v>
      </c>
      <c r="W72" s="20">
        <f t="shared" si="13"/>
        <v>0</v>
      </c>
      <c r="X72" s="20">
        <f t="shared" si="14"/>
        <v>56</v>
      </c>
      <c r="Y72" s="20">
        <f t="shared" si="15"/>
        <v>0</v>
      </c>
      <c r="Z72" s="20"/>
      <c r="AA72" s="21"/>
    </row>
    <row r="73" spans="1:27" ht="60" customHeight="1">
      <c r="A73" s="14">
        <f t="shared" si="18"/>
        <v>68</v>
      </c>
      <c r="B73" s="14" t="s">
        <v>169</v>
      </c>
      <c r="C73" s="14" t="s">
        <v>165</v>
      </c>
      <c r="D73" s="14">
        <v>28</v>
      </c>
      <c r="E73" s="14"/>
      <c r="F73" s="14" t="s">
        <v>166</v>
      </c>
      <c r="G73" s="14">
        <v>380</v>
      </c>
      <c r="H73" s="14" t="s">
        <v>143</v>
      </c>
      <c r="I73" s="14">
        <v>28610</v>
      </c>
      <c r="J73" s="17">
        <v>0.9</v>
      </c>
      <c r="K73" s="17">
        <v>0.96</v>
      </c>
      <c r="L73" s="15">
        <f t="shared" si="16"/>
        <v>50.310645716115971</v>
      </c>
      <c r="M73" s="18">
        <v>0.02</v>
      </c>
      <c r="N73" s="14">
        <v>58</v>
      </c>
      <c r="O73" s="15">
        <v>56</v>
      </c>
      <c r="P73" s="17">
        <f t="shared" si="17"/>
        <v>12.783104174693714</v>
      </c>
      <c r="Q73" s="19">
        <v>16</v>
      </c>
      <c r="R73" s="16">
        <v>63</v>
      </c>
      <c r="S73" s="19"/>
      <c r="T73" s="16"/>
      <c r="U73" s="20">
        <f t="shared" si="11"/>
        <v>0</v>
      </c>
      <c r="V73" s="20">
        <f t="shared" si="12"/>
        <v>0</v>
      </c>
      <c r="W73" s="20">
        <f t="shared" si="13"/>
        <v>0</v>
      </c>
      <c r="X73" s="20">
        <f t="shared" si="14"/>
        <v>56</v>
      </c>
      <c r="Y73" s="20">
        <f t="shared" si="15"/>
        <v>0</v>
      </c>
      <c r="Z73" s="20"/>
      <c r="AA73" s="21"/>
    </row>
    <row r="74" spans="1:27" ht="60" customHeight="1">
      <c r="A74" s="14">
        <f t="shared" si="18"/>
        <v>69</v>
      </c>
      <c r="B74" s="14" t="s">
        <v>170</v>
      </c>
      <c r="C74" s="14" t="s">
        <v>165</v>
      </c>
      <c r="D74" s="14">
        <v>28</v>
      </c>
      <c r="E74" s="14" t="s">
        <v>171</v>
      </c>
      <c r="F74" s="14" t="s">
        <v>166</v>
      </c>
      <c r="G74" s="14">
        <v>380</v>
      </c>
      <c r="H74" s="14" t="s">
        <v>143</v>
      </c>
      <c r="I74" s="14">
        <v>28610</v>
      </c>
      <c r="J74" s="17">
        <v>0.9</v>
      </c>
      <c r="K74" s="17">
        <v>0.96</v>
      </c>
      <c r="L74" s="15">
        <f t="shared" si="16"/>
        <v>50.310645716115971</v>
      </c>
      <c r="M74" s="18">
        <v>0.02</v>
      </c>
      <c r="N74" s="14">
        <v>58</v>
      </c>
      <c r="O74" s="15">
        <v>56</v>
      </c>
      <c r="P74" s="17">
        <f>((L74*(O74*2))/(N74*(G74*M74)))</f>
        <v>12.783104174693714</v>
      </c>
      <c r="Q74" s="19">
        <v>16</v>
      </c>
      <c r="R74" s="16">
        <v>63</v>
      </c>
      <c r="S74" s="19"/>
      <c r="T74" s="16"/>
      <c r="U74" s="20">
        <f t="shared" si="11"/>
        <v>0</v>
      </c>
      <c r="V74" s="20">
        <f t="shared" si="12"/>
        <v>0</v>
      </c>
      <c r="W74" s="20">
        <f t="shared" si="13"/>
        <v>0</v>
      </c>
      <c r="X74" s="20">
        <f t="shared" si="14"/>
        <v>56</v>
      </c>
      <c r="Y74" s="20">
        <f t="shared" si="15"/>
        <v>0</v>
      </c>
      <c r="Z74" s="20"/>
      <c r="AA74" s="21"/>
    </row>
    <row r="75" spans="1:27" ht="30" customHeight="1">
      <c r="A75" s="14">
        <f t="shared" si="18"/>
        <v>70</v>
      </c>
      <c r="B75" s="14" t="s">
        <v>172</v>
      </c>
      <c r="C75" s="14" t="s">
        <v>173</v>
      </c>
      <c r="D75" s="14"/>
      <c r="E75" s="14"/>
      <c r="F75" s="14" t="s">
        <v>166</v>
      </c>
      <c r="G75" s="14">
        <v>380</v>
      </c>
      <c r="H75" s="14" t="s">
        <v>143</v>
      </c>
      <c r="I75" s="16">
        <v>28610</v>
      </c>
      <c r="J75" s="17">
        <v>0.8</v>
      </c>
      <c r="K75" s="17">
        <v>0.96</v>
      </c>
      <c r="L75" s="15">
        <f t="shared" si="16"/>
        <v>56.599476430630467</v>
      </c>
      <c r="M75" s="18"/>
      <c r="N75" s="14"/>
      <c r="O75" s="15"/>
      <c r="P75" s="17"/>
      <c r="Q75" s="19"/>
      <c r="R75" s="16">
        <v>63</v>
      </c>
      <c r="S75" s="19"/>
      <c r="T75" s="16"/>
      <c r="U75" s="20">
        <f t="shared" si="11"/>
        <v>0</v>
      </c>
      <c r="V75" s="20">
        <f t="shared" si="12"/>
        <v>0</v>
      </c>
      <c r="W75" s="20">
        <f t="shared" si="13"/>
        <v>0</v>
      </c>
      <c r="X75" s="20">
        <f t="shared" si="14"/>
        <v>0</v>
      </c>
      <c r="Y75" s="20">
        <f t="shared" si="15"/>
        <v>0</v>
      </c>
      <c r="Z75" s="20"/>
      <c r="AA75" s="21"/>
    </row>
    <row r="76" spans="1:27" ht="30" customHeight="1">
      <c r="A76" s="14">
        <f t="shared" si="18"/>
        <v>71</v>
      </c>
      <c r="B76" s="14" t="s">
        <v>172</v>
      </c>
      <c r="C76" s="14" t="s">
        <v>173</v>
      </c>
      <c r="D76" s="14"/>
      <c r="E76" s="14"/>
      <c r="F76" s="14" t="s">
        <v>166</v>
      </c>
      <c r="G76" s="14">
        <v>380</v>
      </c>
      <c r="H76" s="14" t="s">
        <v>143</v>
      </c>
      <c r="I76" s="16">
        <v>28610</v>
      </c>
      <c r="J76" s="17">
        <v>0.8</v>
      </c>
      <c r="K76" s="17">
        <v>0.96</v>
      </c>
      <c r="L76" s="15">
        <f t="shared" si="16"/>
        <v>56.599476430630467</v>
      </c>
      <c r="M76" s="18"/>
      <c r="N76" s="14"/>
      <c r="O76" s="15"/>
      <c r="P76" s="17"/>
      <c r="Q76" s="19"/>
      <c r="R76" s="16">
        <v>63</v>
      </c>
      <c r="S76" s="19"/>
      <c r="T76" s="16"/>
      <c r="U76" s="20">
        <f t="shared" si="11"/>
        <v>0</v>
      </c>
      <c r="V76" s="20">
        <f t="shared" si="12"/>
        <v>0</v>
      </c>
      <c r="W76" s="20">
        <f t="shared" si="13"/>
        <v>0</v>
      </c>
      <c r="X76" s="20">
        <f t="shared" si="14"/>
        <v>0</v>
      </c>
      <c r="Y76" s="20">
        <f t="shared" si="15"/>
        <v>0</v>
      </c>
      <c r="Z76" s="20"/>
      <c r="AA76" s="21"/>
    </row>
    <row r="77" spans="1:27" ht="30" customHeight="1">
      <c r="A77" s="14">
        <f t="shared" si="18"/>
        <v>72</v>
      </c>
      <c r="B77" s="14" t="s">
        <v>174</v>
      </c>
      <c r="C77" s="14" t="s">
        <v>175</v>
      </c>
      <c r="D77" s="14"/>
      <c r="E77" s="14"/>
      <c r="F77" s="14" t="s">
        <v>166</v>
      </c>
      <c r="G77" s="14">
        <v>380</v>
      </c>
      <c r="H77" s="14" t="s">
        <v>143</v>
      </c>
      <c r="I77" s="16">
        <f>SUM(I3:I66)</f>
        <v>20490</v>
      </c>
      <c r="J77" s="17">
        <v>0.8</v>
      </c>
      <c r="K77" s="17">
        <v>0.92</v>
      </c>
      <c r="L77" s="15">
        <f t="shared" si="16"/>
        <v>42.298008494334354</v>
      </c>
      <c r="M77" s="18">
        <v>0.01</v>
      </c>
      <c r="N77" s="14">
        <v>58</v>
      </c>
      <c r="O77" s="15">
        <v>20</v>
      </c>
      <c r="P77" s="17">
        <f>((L77*(O77*2))/(N77*(G77*M77)))</f>
        <v>7.6765895634000634</v>
      </c>
      <c r="Q77" s="19">
        <v>10</v>
      </c>
      <c r="R77" s="16">
        <v>50</v>
      </c>
      <c r="S77" s="19"/>
      <c r="T77" s="16"/>
      <c r="U77" s="20">
        <f t="shared" si="11"/>
        <v>0</v>
      </c>
      <c r="V77" s="20">
        <f t="shared" si="12"/>
        <v>0</v>
      </c>
      <c r="W77" s="20">
        <f t="shared" si="13"/>
        <v>20</v>
      </c>
      <c r="X77" s="20">
        <f t="shared" si="14"/>
        <v>0</v>
      </c>
      <c r="Y77" s="20">
        <f t="shared" si="15"/>
        <v>0</v>
      </c>
      <c r="Z77" s="20"/>
      <c r="AA77" s="21"/>
    </row>
    <row r="78" spans="1:27" ht="30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  <c r="R78" s="44"/>
      <c r="S78" s="42"/>
      <c r="T78" s="45"/>
      <c r="U78" s="20"/>
      <c r="V78" s="20"/>
      <c r="W78" s="20"/>
      <c r="X78" s="20"/>
      <c r="Y78" s="20"/>
      <c r="Z78" s="21"/>
      <c r="AA78" s="42"/>
    </row>
    <row r="79" spans="1:27" ht="30" customHeight="1">
      <c r="A79" s="36"/>
      <c r="B79" s="37" t="s">
        <v>176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9"/>
      <c r="R79" s="39"/>
      <c r="S79" s="38"/>
      <c r="T79" s="40"/>
      <c r="U79" s="20"/>
      <c r="V79" s="20"/>
      <c r="W79" s="20"/>
      <c r="X79" s="20"/>
      <c r="Y79" s="20"/>
      <c r="Z79" s="21"/>
      <c r="AA79" s="6"/>
    </row>
    <row r="80" spans="1:27" ht="60" customHeight="1">
      <c r="A80" s="46" t="s">
        <v>1</v>
      </c>
      <c r="B80" s="46" t="s">
        <v>2</v>
      </c>
      <c r="C80" s="46" t="s">
        <v>3</v>
      </c>
      <c r="D80" s="46"/>
      <c r="E80" s="46" t="s">
        <v>5</v>
      </c>
      <c r="F80" s="46" t="s">
        <v>6</v>
      </c>
      <c r="G80" s="46" t="s">
        <v>7</v>
      </c>
      <c r="H80" s="46" t="s">
        <v>8</v>
      </c>
      <c r="I80" s="46" t="s">
        <v>9</v>
      </c>
      <c r="J80" s="46" t="s">
        <v>10</v>
      </c>
      <c r="K80" s="46" t="s">
        <v>11</v>
      </c>
      <c r="L80" s="46" t="s">
        <v>12</v>
      </c>
      <c r="M80" s="46" t="s">
        <v>13</v>
      </c>
      <c r="N80" s="46" t="s">
        <v>14</v>
      </c>
      <c r="O80" s="46" t="s">
        <v>15</v>
      </c>
      <c r="P80" s="46" t="s">
        <v>16</v>
      </c>
      <c r="Q80" s="46" t="s">
        <v>17</v>
      </c>
      <c r="R80" s="46" t="s">
        <v>18</v>
      </c>
      <c r="S80" s="46"/>
      <c r="T80" s="46"/>
      <c r="U80" s="20">
        <f t="shared" si="11"/>
        <v>0</v>
      </c>
      <c r="V80" s="20">
        <f t="shared" si="12"/>
        <v>0</v>
      </c>
      <c r="W80" s="20">
        <f t="shared" si="13"/>
        <v>0</v>
      </c>
      <c r="X80" s="20">
        <f t="shared" si="14"/>
        <v>0</v>
      </c>
      <c r="Y80" s="20">
        <f t="shared" si="15"/>
        <v>0</v>
      </c>
      <c r="Z80" s="21"/>
      <c r="AA80" s="22"/>
    </row>
    <row r="81" spans="1:28" ht="60" customHeight="1">
      <c r="A81" s="14">
        <f>A77+1</f>
        <v>73</v>
      </c>
      <c r="B81" s="14" t="s">
        <v>177</v>
      </c>
      <c r="C81" s="14" t="s">
        <v>178</v>
      </c>
      <c r="D81" s="14"/>
      <c r="E81" s="14"/>
      <c r="F81" s="14" t="s">
        <v>179</v>
      </c>
      <c r="G81" s="14">
        <v>380</v>
      </c>
      <c r="H81" s="14" t="s">
        <v>143</v>
      </c>
      <c r="I81" s="16">
        <f>SUM(I70:I77)</f>
        <v>220760</v>
      </c>
      <c r="J81" s="17">
        <v>0.85</v>
      </c>
      <c r="K81" s="17">
        <v>0.95</v>
      </c>
      <c r="L81" s="15">
        <f>(I81)/((3^0.5)*G81*J81*K81)</f>
        <v>415.36856909337394</v>
      </c>
      <c r="M81" s="18">
        <v>0.02</v>
      </c>
      <c r="N81" s="14">
        <v>58</v>
      </c>
      <c r="O81" s="15">
        <v>30</v>
      </c>
      <c r="P81" s="17">
        <f>((L81*(O81*2))/(N81*(G81*M81)))</f>
        <v>56.538371473689729</v>
      </c>
      <c r="Q81" s="19">
        <v>70</v>
      </c>
      <c r="R81" s="16">
        <v>500</v>
      </c>
      <c r="S81" s="19"/>
      <c r="T81" s="16"/>
      <c r="U81" s="20">
        <f>IF(Q81=2.5,O81,0)</f>
        <v>0</v>
      </c>
      <c r="V81" s="20">
        <f>IF(Q81=6,O81,0)</f>
        <v>0</v>
      </c>
      <c r="W81" s="20">
        <f>IF(Q81=10,O81,0)</f>
        <v>0</v>
      </c>
      <c r="X81" s="20">
        <f>IF(Q81=16,O81,0)</f>
        <v>0</v>
      </c>
      <c r="Y81" s="20">
        <f>IF(Q81=70,O81,0)</f>
        <v>30</v>
      </c>
      <c r="Z81" s="20"/>
      <c r="AA81" s="21"/>
    </row>
    <row r="82" spans="1:28" ht="60" customHeight="1">
      <c r="A82" s="14">
        <f>A81+1</f>
        <v>74</v>
      </c>
      <c r="B82" s="14" t="s">
        <v>180</v>
      </c>
      <c r="C82" s="14" t="s">
        <v>181</v>
      </c>
      <c r="D82" s="14"/>
      <c r="E82" s="14"/>
      <c r="F82" s="14" t="s">
        <v>177</v>
      </c>
      <c r="G82" s="14">
        <v>380</v>
      </c>
      <c r="H82" s="14" t="s">
        <v>143</v>
      </c>
      <c r="I82" s="16">
        <f>I77</f>
        <v>20490</v>
      </c>
      <c r="J82" s="17">
        <v>0.9</v>
      </c>
      <c r="K82" s="17">
        <v>0.96</v>
      </c>
      <c r="L82" s="15">
        <f t="shared" ref="L82" si="19">(I82)/((3^0.5)*G82*J82*K82)</f>
        <v>36.03163686554408</v>
      </c>
      <c r="M82" s="18">
        <v>0.02</v>
      </c>
      <c r="N82" s="14">
        <v>58</v>
      </c>
      <c r="O82" s="15">
        <v>16</v>
      </c>
      <c r="P82" s="17">
        <f t="shared" ref="P82" si="20">((L82*(O82*2))/(N82*(G82*M82)))</f>
        <v>2.6157268141955776</v>
      </c>
      <c r="Q82" s="19">
        <v>10</v>
      </c>
      <c r="R82" s="16">
        <v>50</v>
      </c>
      <c r="S82" s="19"/>
      <c r="T82" s="16"/>
      <c r="U82" s="20">
        <f>IF(Q82=2.5,O82,0)</f>
        <v>0</v>
      </c>
      <c r="V82" s="20">
        <f>IF(Q82=6,O82,0)</f>
        <v>0</v>
      </c>
      <c r="W82" s="20">
        <f>IF(Q82=10,O82,0)</f>
        <v>16</v>
      </c>
      <c r="X82" s="20">
        <f>IF(Q82=16,O82,0)</f>
        <v>0</v>
      </c>
      <c r="Y82" s="20">
        <f>IF(Q82=70,O82,0)</f>
        <v>0</v>
      </c>
      <c r="Z82" s="20"/>
      <c r="AA82" s="21"/>
    </row>
    <row r="83" spans="1:28" ht="30" customHeight="1"/>
    <row r="84" spans="1:28" ht="30" customHeight="1">
      <c r="A84" s="1" t="s">
        <v>182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3"/>
    </row>
    <row r="85" spans="1:28" ht="60" customHeight="1">
      <c r="A85" s="41" t="s">
        <v>1</v>
      </c>
      <c r="B85" s="41" t="s">
        <v>6</v>
      </c>
      <c r="C85" s="41" t="s">
        <v>9</v>
      </c>
      <c r="D85" s="41" t="s">
        <v>7</v>
      </c>
      <c r="E85" s="41" t="s">
        <v>12</v>
      </c>
      <c r="F85" s="41" t="s">
        <v>13</v>
      </c>
      <c r="G85" s="41" t="s">
        <v>18</v>
      </c>
      <c r="H85" s="41" t="s">
        <v>183</v>
      </c>
      <c r="I85" s="41" t="s">
        <v>184</v>
      </c>
      <c r="J85" s="41" t="s">
        <v>184</v>
      </c>
      <c r="K85" s="41" t="s">
        <v>185</v>
      </c>
      <c r="L85" s="41" t="s">
        <v>186</v>
      </c>
      <c r="S85" s="47"/>
    </row>
    <row r="86" spans="1:28" ht="30" customHeight="1">
      <c r="A86" s="14">
        <f>A82+1</f>
        <v>75</v>
      </c>
      <c r="B86" s="14" t="s">
        <v>174</v>
      </c>
      <c r="C86" s="16">
        <f>I77</f>
        <v>20490</v>
      </c>
      <c r="D86" s="16">
        <v>380</v>
      </c>
      <c r="E86" s="15">
        <f>(C86)/((3^0.5)*D86*1*1)</f>
        <v>31.131334251830086</v>
      </c>
      <c r="F86" s="18">
        <v>0.03</v>
      </c>
      <c r="G86" s="14">
        <v>50</v>
      </c>
      <c r="H86" s="14">
        <v>2.5</v>
      </c>
      <c r="I86" s="14">
        <v>1.1000000000000001</v>
      </c>
      <c r="J86" s="14">
        <v>220</v>
      </c>
      <c r="K86" s="14" t="s">
        <v>187</v>
      </c>
      <c r="L86" s="14">
        <v>275</v>
      </c>
      <c r="S86" s="47"/>
    </row>
    <row r="87" spans="1:28" ht="30" customHeight="1">
      <c r="A87" s="14">
        <f>A86+1</f>
        <v>76</v>
      </c>
      <c r="B87" s="14" t="s">
        <v>188</v>
      </c>
      <c r="C87" s="16">
        <v>5440</v>
      </c>
      <c r="D87" s="16">
        <v>380</v>
      </c>
      <c r="E87" s="15">
        <f>(C87)/((3^0.5)*D87*1*1)</f>
        <v>8.2652249062935912</v>
      </c>
      <c r="F87" s="18">
        <v>0.03</v>
      </c>
      <c r="G87" s="14">
        <v>32</v>
      </c>
      <c r="H87" s="14">
        <v>2.5</v>
      </c>
      <c r="I87" s="14">
        <v>1.1000000000000001</v>
      </c>
      <c r="J87" s="14">
        <v>220</v>
      </c>
      <c r="K87" s="14" t="s">
        <v>187</v>
      </c>
      <c r="L87" s="14">
        <v>275</v>
      </c>
      <c r="S87" s="47"/>
    </row>
    <row r="88" spans="1:28" ht="30" customHeight="1">
      <c r="A88" s="14">
        <f>A87+1</f>
        <v>77</v>
      </c>
      <c r="B88" s="14" t="s">
        <v>189</v>
      </c>
      <c r="C88" s="16">
        <v>226200</v>
      </c>
      <c r="D88" s="16">
        <v>380</v>
      </c>
      <c r="E88" s="15">
        <f>(C88)/((3^0.5)*D88*1*1)</f>
        <v>343.67534444919306</v>
      </c>
      <c r="F88" s="18">
        <v>0.03</v>
      </c>
      <c r="G88" s="14">
        <v>400</v>
      </c>
      <c r="H88" s="14">
        <v>2.5</v>
      </c>
      <c r="I88" s="14">
        <v>1.1000000000000001</v>
      </c>
      <c r="J88" s="14">
        <v>220</v>
      </c>
      <c r="K88" s="14" t="s">
        <v>187</v>
      </c>
      <c r="L88" s="14">
        <v>275</v>
      </c>
      <c r="S88" s="47"/>
    </row>
    <row r="89" spans="1:28" ht="30" customHeight="1"/>
    <row r="90" spans="1:28" ht="30" customHeight="1">
      <c r="A90" s="1" t="s">
        <v>190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3"/>
      <c r="Y90" s="7" t="s">
        <v>191</v>
      </c>
      <c r="Z90" s="7" t="s">
        <v>192</v>
      </c>
      <c r="AA90" s="7" t="s">
        <v>193</v>
      </c>
    </row>
    <row r="91" spans="1:28" ht="60" customHeight="1">
      <c r="A91" s="46" t="s">
        <v>1</v>
      </c>
      <c r="B91" s="46" t="s">
        <v>194</v>
      </c>
      <c r="C91" s="46" t="s">
        <v>195</v>
      </c>
      <c r="D91" s="46" t="s">
        <v>196</v>
      </c>
      <c r="E91" s="46" t="s">
        <v>197</v>
      </c>
      <c r="F91" s="46" t="s">
        <v>195</v>
      </c>
      <c r="G91" s="46" t="s">
        <v>196</v>
      </c>
      <c r="H91" s="46" t="s">
        <v>197</v>
      </c>
      <c r="I91" s="46" t="s">
        <v>198</v>
      </c>
      <c r="J91" s="46" t="s">
        <v>199</v>
      </c>
      <c r="K91" s="46" t="s">
        <v>200</v>
      </c>
      <c r="L91" s="48" t="s">
        <v>201</v>
      </c>
      <c r="M91" s="48"/>
      <c r="N91" s="48"/>
      <c r="O91" s="48"/>
      <c r="P91" s="41" t="s">
        <v>202</v>
      </c>
      <c r="Q91" s="49">
        <f>SUM(Q92:Q97)</f>
        <v>243</v>
      </c>
      <c r="R91" s="49">
        <f>SUM(R92:R97)</f>
        <v>0</v>
      </c>
      <c r="S91" s="49">
        <f>SUM(S92:S97)</f>
        <v>60</v>
      </c>
      <c r="T91" s="49">
        <f>SUM(T92:T97)</f>
        <v>76</v>
      </c>
      <c r="U91" s="49"/>
      <c r="V91" s="49">
        <f>SUM(V92:V97)</f>
        <v>279</v>
      </c>
      <c r="W91" s="49">
        <f>SUM(W92:W97)</f>
        <v>0</v>
      </c>
      <c r="Y91" s="7">
        <f>Z91/2</f>
        <v>12.5</v>
      </c>
      <c r="Z91" s="7">
        <v>25</v>
      </c>
      <c r="AA91" s="7">
        <v>3.1415899999999999</v>
      </c>
      <c r="AB91" s="7">
        <f>AA91*(Y91)^2</f>
        <v>490.87343749999997</v>
      </c>
    </row>
    <row r="92" spans="1:28" ht="30" customHeight="1">
      <c r="A92" s="14">
        <f>A88+1</f>
        <v>78</v>
      </c>
      <c r="B92" s="14" t="s">
        <v>203</v>
      </c>
      <c r="C92" s="14">
        <v>3</v>
      </c>
      <c r="D92" s="14">
        <v>2.5</v>
      </c>
      <c r="E92" s="15">
        <f>C92*D92</f>
        <v>7.5</v>
      </c>
      <c r="F92" s="14">
        <v>0</v>
      </c>
      <c r="G92" s="14">
        <v>0</v>
      </c>
      <c r="H92" s="15">
        <f>F92*G92</f>
        <v>0</v>
      </c>
      <c r="I92" s="50">
        <f>E92+H92</f>
        <v>7.5</v>
      </c>
      <c r="J92" s="18">
        <v>0.2</v>
      </c>
      <c r="K92" s="19">
        <f>I92/J92</f>
        <v>37.5</v>
      </c>
      <c r="L92" s="51" t="s">
        <v>204</v>
      </c>
      <c r="M92" s="51"/>
      <c r="N92" s="51"/>
      <c r="O92" s="51"/>
      <c r="P92" s="14">
        <f>57*3</f>
        <v>171</v>
      </c>
      <c r="Q92" s="52">
        <f t="shared" ref="Q92:Q97" si="21">IF($L92="Eletroduto flexível, reforçado, DN 25 mm ( 3/4 pol)",P92,0)</f>
        <v>171</v>
      </c>
      <c r="R92" s="52">
        <f>IF($L92="Eletroduto flexível, reforçado, DN 32 mm (1 pol)",P92,0)</f>
        <v>0</v>
      </c>
      <c r="S92" s="52">
        <f t="shared" ref="S92:S97" si="22">IF($L92="Eletrocalha perfurada 200 x 100 mm",P92,0)</f>
        <v>0</v>
      </c>
      <c r="T92" s="52">
        <f t="shared" ref="T92:T97" si="23">IF($L92="Eletrocalha perfurada 100 x 50 mm",P92,0)</f>
        <v>0</v>
      </c>
      <c r="U92" s="52"/>
      <c r="V92" s="52">
        <f t="shared" ref="V92:V97" si="24">IF($L92="Eletrocalha perfurada 50 x 50 mm",P92,0)</f>
        <v>0</v>
      </c>
      <c r="W92" s="52">
        <f t="shared" ref="W92" si="25">IF($L92="",V92,0)</f>
        <v>0</v>
      </c>
    </row>
    <row r="93" spans="1:28" ht="30" customHeight="1">
      <c r="A93" s="14">
        <f>A92+1</f>
        <v>79</v>
      </c>
      <c r="B93" s="14" t="s">
        <v>205</v>
      </c>
      <c r="C93" s="14">
        <v>5</v>
      </c>
      <c r="D93" s="14">
        <v>16</v>
      </c>
      <c r="E93" s="15">
        <f>C93*D93-D93+10</f>
        <v>74</v>
      </c>
      <c r="F93" s="14">
        <v>0</v>
      </c>
      <c r="G93" s="14">
        <v>1</v>
      </c>
      <c r="H93" s="15">
        <f t="shared" ref="H93:H97" si="26">F93*G93</f>
        <v>0</v>
      </c>
      <c r="I93" s="50">
        <f t="shared" ref="I93:I97" si="27">E93+H93</f>
        <v>74</v>
      </c>
      <c r="J93" s="18">
        <v>0.2</v>
      </c>
      <c r="K93" s="19">
        <f>I93/J93</f>
        <v>370</v>
      </c>
      <c r="L93" s="53" t="s">
        <v>206</v>
      </c>
      <c r="M93" s="54"/>
      <c r="N93" s="54"/>
      <c r="O93" s="55"/>
      <c r="P93" s="14">
        <f>4*5</f>
        <v>20</v>
      </c>
      <c r="Q93" s="52">
        <f t="shared" si="21"/>
        <v>0</v>
      </c>
      <c r="R93" s="52">
        <f>IF($L93="Eletroduto flexível, reforçado, DN 32 mm (1 pol)",P93,0)</f>
        <v>0</v>
      </c>
      <c r="S93" s="52">
        <f t="shared" si="22"/>
        <v>0</v>
      </c>
      <c r="T93" s="52">
        <f t="shared" si="23"/>
        <v>0</v>
      </c>
      <c r="U93" s="52"/>
      <c r="V93" s="52">
        <f t="shared" si="24"/>
        <v>0</v>
      </c>
    </row>
    <row r="94" spans="1:28" ht="30" customHeight="1">
      <c r="A94" s="14">
        <f t="shared" ref="A94:A96" si="28">A93+1</f>
        <v>80</v>
      </c>
      <c r="B94" s="14" t="s">
        <v>207</v>
      </c>
      <c r="C94" s="14">
        <v>3</v>
      </c>
      <c r="D94" s="14">
        <v>6</v>
      </c>
      <c r="E94" s="15">
        <f t="shared" ref="E94:E97" si="29">C94*D94</f>
        <v>18</v>
      </c>
      <c r="F94" s="14">
        <v>0</v>
      </c>
      <c r="G94" s="14">
        <v>2</v>
      </c>
      <c r="H94" s="15">
        <f t="shared" si="26"/>
        <v>0</v>
      </c>
      <c r="I94" s="50">
        <f t="shared" si="27"/>
        <v>18</v>
      </c>
      <c r="J94" s="18">
        <v>0.2</v>
      </c>
      <c r="K94" s="19">
        <f t="shared" ref="K94:K97" si="30">I94/J94</f>
        <v>90</v>
      </c>
      <c r="L94" s="51" t="s">
        <v>204</v>
      </c>
      <c r="M94" s="51"/>
      <c r="N94" s="51"/>
      <c r="O94" s="51"/>
      <c r="P94" s="14">
        <f>6*12</f>
        <v>72</v>
      </c>
      <c r="Q94" s="52">
        <f t="shared" si="21"/>
        <v>72</v>
      </c>
      <c r="R94" s="52">
        <f>IF($L94="Eletroduto flexível, reforçado, DN 32 mm (1 pol)",P94,0)</f>
        <v>0</v>
      </c>
      <c r="S94" s="52">
        <f t="shared" si="22"/>
        <v>0</v>
      </c>
      <c r="T94" s="52">
        <f t="shared" si="23"/>
        <v>0</v>
      </c>
      <c r="U94" s="52"/>
      <c r="V94" s="52">
        <f t="shared" si="24"/>
        <v>0</v>
      </c>
    </row>
    <row r="95" spans="1:28" ht="30" customHeight="1">
      <c r="A95" s="14">
        <f t="shared" si="28"/>
        <v>81</v>
      </c>
      <c r="B95" s="14" t="s">
        <v>208</v>
      </c>
      <c r="C95" s="14">
        <v>20</v>
      </c>
      <c r="D95" s="14">
        <v>16</v>
      </c>
      <c r="E95" s="15">
        <f>C95*D95-16+10</f>
        <v>314</v>
      </c>
      <c r="F95" s="14">
        <v>0</v>
      </c>
      <c r="G95" s="14">
        <v>2</v>
      </c>
      <c r="H95" s="15">
        <f t="shared" si="26"/>
        <v>0</v>
      </c>
      <c r="I95" s="50">
        <f t="shared" si="27"/>
        <v>314</v>
      </c>
      <c r="J95" s="18">
        <v>0.2</v>
      </c>
      <c r="K95" s="19">
        <f t="shared" si="30"/>
        <v>1570</v>
      </c>
      <c r="L95" s="51" t="s">
        <v>209</v>
      </c>
      <c r="M95" s="51"/>
      <c r="N95" s="51"/>
      <c r="O95" s="51"/>
      <c r="P95" s="14">
        <v>60</v>
      </c>
      <c r="Q95" s="52">
        <f t="shared" si="21"/>
        <v>0</v>
      </c>
      <c r="R95" s="52">
        <f t="shared" ref="R95:R97" si="31">IF($L95="Eletroduto flexível, reforçado, DN 100 mm (2 pol)",P95,0)</f>
        <v>0</v>
      </c>
      <c r="S95" s="52">
        <f t="shared" si="22"/>
        <v>60</v>
      </c>
      <c r="T95" s="52">
        <f t="shared" si="23"/>
        <v>0</v>
      </c>
      <c r="U95" s="52"/>
      <c r="V95" s="52">
        <f t="shared" si="24"/>
        <v>0</v>
      </c>
    </row>
    <row r="96" spans="1:28" ht="30" customHeight="1">
      <c r="A96" s="14">
        <f t="shared" si="28"/>
        <v>82</v>
      </c>
      <c r="B96" s="14" t="s">
        <v>210</v>
      </c>
      <c r="C96" s="14">
        <v>5</v>
      </c>
      <c r="D96" s="14">
        <v>70</v>
      </c>
      <c r="E96" s="15">
        <f>C96*D96-D96+35</f>
        <v>315</v>
      </c>
      <c r="F96" s="14">
        <v>0</v>
      </c>
      <c r="G96" s="14">
        <v>2</v>
      </c>
      <c r="H96" s="15">
        <f t="shared" si="26"/>
        <v>0</v>
      </c>
      <c r="I96" s="50">
        <f t="shared" si="27"/>
        <v>315</v>
      </c>
      <c r="J96" s="18">
        <v>0.2</v>
      </c>
      <c r="K96" s="19">
        <f t="shared" si="30"/>
        <v>1575</v>
      </c>
      <c r="L96" s="51" t="s">
        <v>211</v>
      </c>
      <c r="M96" s="51"/>
      <c r="N96" s="51"/>
      <c r="O96" s="51"/>
      <c r="P96" s="14">
        <v>76</v>
      </c>
      <c r="Q96" s="52">
        <f t="shared" si="21"/>
        <v>0</v>
      </c>
      <c r="R96" s="52">
        <f t="shared" si="31"/>
        <v>0</v>
      </c>
      <c r="S96" s="52">
        <f t="shared" si="22"/>
        <v>0</v>
      </c>
      <c r="T96" s="52">
        <f t="shared" si="23"/>
        <v>76</v>
      </c>
      <c r="U96" s="52"/>
      <c r="V96" s="52">
        <f t="shared" si="24"/>
        <v>0</v>
      </c>
    </row>
    <row r="97" spans="1:22" ht="30" customHeight="1">
      <c r="A97" s="14">
        <f>A96+1</f>
        <v>83</v>
      </c>
      <c r="B97" s="14" t="s">
        <v>212</v>
      </c>
      <c r="C97" s="14">
        <v>15</v>
      </c>
      <c r="D97" s="14">
        <v>2.5</v>
      </c>
      <c r="E97" s="15">
        <f t="shared" si="29"/>
        <v>37.5</v>
      </c>
      <c r="F97" s="14">
        <v>0</v>
      </c>
      <c r="G97" s="14">
        <v>3</v>
      </c>
      <c r="H97" s="15">
        <f t="shared" si="26"/>
        <v>0</v>
      </c>
      <c r="I97" s="50">
        <f t="shared" si="27"/>
        <v>37.5</v>
      </c>
      <c r="J97" s="18">
        <v>0.2</v>
      </c>
      <c r="K97" s="19">
        <f t="shared" si="30"/>
        <v>187.5</v>
      </c>
      <c r="L97" s="51" t="s">
        <v>213</v>
      </c>
      <c r="M97" s="51"/>
      <c r="N97" s="51"/>
      <c r="O97" s="51"/>
      <c r="P97" s="14">
        <v>279</v>
      </c>
      <c r="Q97" s="52">
        <f t="shared" si="21"/>
        <v>0</v>
      </c>
      <c r="R97" s="52">
        <f t="shared" si="31"/>
        <v>0</v>
      </c>
      <c r="S97" s="52">
        <f t="shared" si="22"/>
        <v>0</v>
      </c>
      <c r="T97" s="52">
        <f t="shared" si="23"/>
        <v>0</v>
      </c>
      <c r="U97" s="52"/>
      <c r="V97" s="52">
        <f t="shared" si="24"/>
        <v>279</v>
      </c>
    </row>
    <row r="98" spans="1:22" ht="30" customHeight="1"/>
    <row r="99" spans="1:22" ht="30" customHeight="1">
      <c r="A99" s="56" t="s">
        <v>214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  <row r="100" spans="1:22" ht="60" customHeight="1">
      <c r="A100" s="57" t="s">
        <v>1</v>
      </c>
      <c r="B100" s="58" t="s">
        <v>215</v>
      </c>
      <c r="C100" s="58" t="s">
        <v>5</v>
      </c>
      <c r="D100" s="58" t="s">
        <v>7</v>
      </c>
      <c r="E100" s="58" t="s">
        <v>8</v>
      </c>
      <c r="F100" s="58" t="s">
        <v>9</v>
      </c>
      <c r="G100" s="58" t="s">
        <v>216</v>
      </c>
      <c r="H100" s="59" t="s">
        <v>217</v>
      </c>
      <c r="I100" s="60" t="s">
        <v>218</v>
      </c>
      <c r="J100" s="61" t="s">
        <v>219</v>
      </c>
      <c r="K100" s="62" t="s">
        <v>220</v>
      </c>
      <c r="L100" s="63" t="s">
        <v>221</v>
      </c>
      <c r="M100" s="64" t="s">
        <v>222</v>
      </c>
      <c r="N100" s="65" t="s">
        <v>223</v>
      </c>
      <c r="O100" s="64" t="s">
        <v>224</v>
      </c>
      <c r="P100" s="66" t="s">
        <v>225</v>
      </c>
    </row>
    <row r="101" spans="1:22" ht="30" customHeight="1">
      <c r="A101" s="67">
        <v>1</v>
      </c>
      <c r="B101" s="68" t="s">
        <v>226</v>
      </c>
      <c r="C101" s="69" t="s">
        <v>227</v>
      </c>
      <c r="D101" s="68">
        <v>220</v>
      </c>
      <c r="E101" s="68" t="s">
        <v>23</v>
      </c>
      <c r="F101" s="68">
        <f>130</f>
        <v>130</v>
      </c>
      <c r="G101" s="68">
        <v>57</v>
      </c>
      <c r="H101" s="70">
        <f>F101*G101</f>
        <v>7410</v>
      </c>
      <c r="I101" s="71">
        <f>H101/J101/1000</f>
        <v>8.0543478260869552</v>
      </c>
      <c r="J101" s="72">
        <v>0.92</v>
      </c>
      <c r="K101" s="73">
        <v>1</v>
      </c>
      <c r="L101" s="74">
        <f>I101+I104+I105+I108</f>
        <v>18.043478260869563</v>
      </c>
      <c r="M101" s="75">
        <f>L101+L104</f>
        <v>27.043478260869563</v>
      </c>
      <c r="N101" s="76">
        <f>L102+L103</f>
        <v>195.78550724637685</v>
      </c>
      <c r="O101" s="75">
        <f>M101+N101</f>
        <v>222.82898550724641</v>
      </c>
      <c r="P101" s="77">
        <f>O101/(380*(3^0.5))*1000</f>
        <v>338.5536178048946</v>
      </c>
    </row>
    <row r="102" spans="1:22" ht="30" customHeight="1">
      <c r="A102" s="67">
        <v>2</v>
      </c>
      <c r="B102" s="68" t="s">
        <v>226</v>
      </c>
      <c r="C102" s="69" t="s">
        <v>228</v>
      </c>
      <c r="D102" s="68">
        <v>380</v>
      </c>
      <c r="E102" s="68" t="s">
        <v>143</v>
      </c>
      <c r="F102" s="68">
        <v>32000</v>
      </c>
      <c r="G102" s="68">
        <v>4</v>
      </c>
      <c r="H102" s="70">
        <f t="shared" ref="H102:H104" si="32">F102*G102</f>
        <v>128000</v>
      </c>
      <c r="I102" s="78">
        <f t="shared" ref="I102:I108" si="33">H102/J102/1000</f>
        <v>139.13043478260872</v>
      </c>
      <c r="J102" s="79">
        <v>0.92</v>
      </c>
      <c r="K102" s="80">
        <v>3</v>
      </c>
      <c r="L102" s="81">
        <f>I102+I103+I106+I107</f>
        <v>190.65217391304353</v>
      </c>
      <c r="M102" s="75"/>
      <c r="N102" s="76"/>
      <c r="O102" s="75"/>
      <c r="P102" s="77"/>
    </row>
    <row r="103" spans="1:22" ht="30" customHeight="1">
      <c r="A103" s="67">
        <v>3</v>
      </c>
      <c r="B103" s="68" t="s">
        <v>226</v>
      </c>
      <c r="C103" s="69" t="s">
        <v>229</v>
      </c>
      <c r="D103" s="68">
        <v>380</v>
      </c>
      <c r="E103" s="68" t="s">
        <v>143</v>
      </c>
      <c r="F103" s="68">
        <v>2200</v>
      </c>
      <c r="G103" s="68">
        <v>6</v>
      </c>
      <c r="H103" s="70">
        <f t="shared" si="32"/>
        <v>13200</v>
      </c>
      <c r="I103" s="71">
        <f t="shared" si="33"/>
        <v>14.347826086956522</v>
      </c>
      <c r="J103" s="72">
        <v>0.92</v>
      </c>
      <c r="K103" s="73">
        <v>3</v>
      </c>
      <c r="L103" s="74">
        <f>(H103+H107)/K103/1000</f>
        <v>5.1333333333333329</v>
      </c>
      <c r="M103" s="75"/>
      <c r="N103" s="76"/>
      <c r="O103" s="75"/>
      <c r="P103" s="77"/>
    </row>
    <row r="104" spans="1:22" ht="30" customHeight="1">
      <c r="A104" s="67">
        <v>4</v>
      </c>
      <c r="B104" s="68" t="s">
        <v>226</v>
      </c>
      <c r="C104" s="69" t="s">
        <v>173</v>
      </c>
      <c r="D104" s="68">
        <v>220</v>
      </c>
      <c r="E104" s="68" t="s">
        <v>23</v>
      </c>
      <c r="F104" s="68">
        <v>3000</v>
      </c>
      <c r="G104" s="68">
        <v>1</v>
      </c>
      <c r="H104" s="70">
        <f t="shared" si="32"/>
        <v>3000</v>
      </c>
      <c r="I104" s="78">
        <f t="shared" si="33"/>
        <v>3</v>
      </c>
      <c r="J104" s="79">
        <v>1</v>
      </c>
      <c r="K104" s="80">
        <v>1</v>
      </c>
      <c r="L104" s="81">
        <f>(H104+H108)/K104/1000</f>
        <v>9</v>
      </c>
      <c r="M104" s="75"/>
      <c r="N104" s="76"/>
      <c r="O104" s="75"/>
      <c r="P104" s="77"/>
    </row>
    <row r="105" spans="1:22" ht="30" customHeight="1">
      <c r="A105" s="67">
        <v>5</v>
      </c>
      <c r="B105" s="68" t="s">
        <v>230</v>
      </c>
      <c r="C105" s="69" t="s">
        <v>227</v>
      </c>
      <c r="D105" s="68">
        <v>220</v>
      </c>
      <c r="E105" s="68" t="s">
        <v>23</v>
      </c>
      <c r="F105" s="68">
        <f>130</f>
        <v>130</v>
      </c>
      <c r="G105" s="68">
        <v>7</v>
      </c>
      <c r="H105" s="70">
        <f>F105*G105</f>
        <v>910</v>
      </c>
      <c r="I105" s="71">
        <f t="shared" si="33"/>
        <v>0.98913043478260865</v>
      </c>
      <c r="J105" s="72">
        <v>0.92</v>
      </c>
      <c r="K105" s="82"/>
      <c r="L105" s="83"/>
      <c r="M105" s="84"/>
      <c r="N105" s="85"/>
      <c r="O105" s="84"/>
      <c r="P105" s="86"/>
    </row>
    <row r="106" spans="1:22" ht="30" customHeight="1">
      <c r="A106" s="67">
        <v>6</v>
      </c>
      <c r="B106" s="68" t="s">
        <v>230</v>
      </c>
      <c r="C106" s="69" t="s">
        <v>228</v>
      </c>
      <c r="D106" s="68">
        <v>380</v>
      </c>
      <c r="E106" s="68" t="s">
        <v>143</v>
      </c>
      <c r="F106" s="68">
        <v>32000</v>
      </c>
      <c r="G106" s="68">
        <v>1</v>
      </c>
      <c r="H106" s="70">
        <f t="shared" ref="H106:H108" si="34">F106*G106</f>
        <v>32000</v>
      </c>
      <c r="I106" s="78">
        <f t="shared" si="33"/>
        <v>34.782608695652179</v>
      </c>
      <c r="J106" s="79">
        <v>0.92</v>
      </c>
    </row>
    <row r="107" spans="1:22" ht="30" customHeight="1">
      <c r="A107" s="67">
        <v>7</v>
      </c>
      <c r="B107" s="68" t="s">
        <v>230</v>
      </c>
      <c r="C107" s="69" t="s">
        <v>229</v>
      </c>
      <c r="D107" s="68">
        <v>380</v>
      </c>
      <c r="E107" s="68" t="s">
        <v>143</v>
      </c>
      <c r="F107" s="68">
        <v>2200</v>
      </c>
      <c r="G107" s="68">
        <v>1</v>
      </c>
      <c r="H107" s="70">
        <f t="shared" si="34"/>
        <v>2200</v>
      </c>
      <c r="I107" s="71">
        <f t="shared" si="33"/>
        <v>2.3913043478260869</v>
      </c>
      <c r="J107" s="72">
        <v>0.92</v>
      </c>
    </row>
    <row r="108" spans="1:22" ht="30" customHeight="1">
      <c r="A108" s="67">
        <v>8</v>
      </c>
      <c r="B108" s="68" t="s">
        <v>230</v>
      </c>
      <c r="C108" s="69" t="s">
        <v>173</v>
      </c>
      <c r="D108" s="68">
        <v>220</v>
      </c>
      <c r="E108" s="68" t="s">
        <v>23</v>
      </c>
      <c r="F108" s="68">
        <v>3000</v>
      </c>
      <c r="G108" s="68">
        <v>2</v>
      </c>
      <c r="H108" s="70">
        <f t="shared" si="34"/>
        <v>6000</v>
      </c>
      <c r="I108" s="78">
        <f t="shared" si="33"/>
        <v>6</v>
      </c>
      <c r="J108" s="79">
        <v>1</v>
      </c>
    </row>
    <row r="109" spans="1:22" ht="30" customHeight="1">
      <c r="A109" s="87"/>
      <c r="B109" s="88"/>
      <c r="C109" s="88"/>
      <c r="D109" s="88"/>
      <c r="E109" s="88"/>
      <c r="F109" s="88"/>
      <c r="G109" s="88"/>
      <c r="H109" s="89"/>
    </row>
    <row r="110" spans="1:22" ht="30" customHeight="1">
      <c r="A110" s="90" t="s">
        <v>231</v>
      </c>
      <c r="B110" s="91"/>
      <c r="C110" s="91"/>
      <c r="D110" s="91"/>
      <c r="E110" s="91"/>
      <c r="F110" s="91"/>
      <c r="G110" s="91"/>
      <c r="H110" s="92"/>
    </row>
    <row r="111" spans="1:22" ht="30" customHeight="1">
      <c r="A111" s="93" t="s">
        <v>232</v>
      </c>
      <c r="B111" s="94"/>
      <c r="C111" s="94"/>
      <c r="D111" s="94"/>
      <c r="E111" s="94"/>
      <c r="F111" s="94"/>
      <c r="G111" s="95"/>
      <c r="H111" s="96">
        <f>H105+H106+H101+H102</f>
        <v>168320</v>
      </c>
      <c r="L111" s="31"/>
    </row>
    <row r="112" spans="1:22" ht="30" customHeight="1">
      <c r="A112" s="93" t="s">
        <v>233</v>
      </c>
      <c r="B112" s="94"/>
      <c r="C112" s="94"/>
      <c r="D112" s="94"/>
      <c r="E112" s="94"/>
      <c r="F112" s="94"/>
      <c r="G112" s="95"/>
      <c r="H112" s="96">
        <f>H107+H103</f>
        <v>15400</v>
      </c>
    </row>
    <row r="113" spans="1:11" ht="30" customHeight="1">
      <c r="A113" s="87"/>
      <c r="B113" s="88"/>
      <c r="C113" s="88"/>
      <c r="D113" s="88"/>
      <c r="E113" s="88"/>
      <c r="F113" s="88"/>
      <c r="G113" s="88"/>
      <c r="H113" s="89"/>
    </row>
    <row r="114" spans="1:11" ht="30" customHeight="1">
      <c r="A114" s="93" t="s">
        <v>234</v>
      </c>
      <c r="B114" s="94"/>
      <c r="C114" s="94"/>
      <c r="D114" s="94"/>
      <c r="E114" s="94"/>
      <c r="F114" s="94"/>
      <c r="G114" s="95"/>
      <c r="H114" s="96">
        <f>H111+H112</f>
        <v>183720</v>
      </c>
      <c r="I114" s="31"/>
      <c r="J114" s="31"/>
      <c r="K114" s="31"/>
    </row>
    <row r="115" spans="1:11" ht="30" customHeight="1"/>
    <row r="116" spans="1:11" ht="30" customHeight="1"/>
    <row r="117" spans="1:11" ht="30" customHeight="1"/>
    <row r="118" spans="1:11" ht="30" customHeight="1"/>
    <row r="119" spans="1:11" ht="30" customHeight="1"/>
    <row r="120" spans="1:11" ht="30" customHeight="1"/>
    <row r="121" spans="1:11" ht="30" customHeight="1"/>
    <row r="122" spans="1:11" ht="30" customHeight="1"/>
    <row r="123" spans="1:11" ht="30" customHeight="1"/>
    <row r="124" spans="1:11" ht="30" customHeight="1"/>
    <row r="125" spans="1:11" ht="30" customHeight="1"/>
    <row r="126" spans="1:11" ht="30" customHeight="1"/>
    <row r="127" spans="1:11" ht="30" customHeight="1"/>
    <row r="128" spans="1:11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21.95" customHeight="1"/>
    <row r="288" ht="21.95" customHeight="1"/>
    <row r="289" ht="21.95" customHeight="1"/>
    <row r="290" ht="21.95" customHeight="1"/>
    <row r="291" ht="21.95" customHeight="1"/>
    <row r="292" ht="21.95" customHeight="1"/>
    <row r="293" ht="21.95" customHeight="1"/>
    <row r="294" ht="21.95" customHeight="1"/>
    <row r="295" ht="21.95" customHeight="1"/>
    <row r="296" ht="21.95" customHeight="1"/>
    <row r="297" ht="21.95" customHeight="1"/>
    <row r="298" ht="21.95" customHeight="1"/>
    <row r="299" ht="21.95" customHeight="1"/>
    <row r="300" ht="21.95" customHeight="1"/>
    <row r="301" ht="21.95" customHeight="1"/>
    <row r="302" ht="21.95" customHeight="1"/>
    <row r="303" ht="21.95" customHeight="1"/>
    <row r="304" ht="21.95" customHeight="1"/>
    <row r="305" ht="21.95" customHeight="1"/>
    <row r="306" ht="21.95" customHeight="1"/>
    <row r="307" ht="21.95" customHeight="1"/>
    <row r="308" ht="21.95" customHeight="1"/>
    <row r="309" ht="21.95" customHeight="1"/>
    <row r="310" ht="21.95" customHeight="1"/>
    <row r="311" ht="21.95" customHeight="1"/>
    <row r="312" ht="21.95" customHeight="1"/>
    <row r="313" ht="21.95" customHeight="1"/>
    <row r="314" ht="21.95" customHeight="1"/>
    <row r="315" ht="21.95" customHeight="1"/>
    <row r="316" ht="21.95" customHeight="1"/>
    <row r="317" ht="21.95" customHeight="1"/>
    <row r="318" ht="21.95" customHeight="1"/>
    <row r="319" ht="21.95" customHeight="1"/>
    <row r="320" ht="21.95" customHeight="1"/>
    <row r="321" ht="21.95" customHeight="1"/>
    <row r="322" ht="21.95" customHeight="1"/>
    <row r="323" ht="21.95" customHeight="1"/>
    <row r="324" ht="21.95" customHeight="1"/>
    <row r="325" ht="21.95" customHeight="1"/>
    <row r="326" ht="21.95" customHeight="1"/>
    <row r="327" ht="21.95" customHeight="1"/>
    <row r="328" ht="21.95" customHeight="1"/>
    <row r="329" ht="21.95" customHeight="1"/>
    <row r="330" ht="21.95" customHeight="1"/>
    <row r="331" ht="21.95" customHeight="1"/>
    <row r="332" ht="21.95" customHeight="1"/>
    <row r="333" ht="21.95" customHeight="1"/>
    <row r="334" ht="21.95" customHeight="1"/>
    <row r="335" ht="21.95" customHeight="1"/>
    <row r="336" ht="21.95" customHeight="1"/>
    <row r="337" ht="21.95" customHeight="1"/>
    <row r="338" ht="21.95" customHeight="1"/>
    <row r="339" ht="21.95" customHeight="1"/>
    <row r="340" ht="21.95" customHeight="1"/>
    <row r="341" ht="21.95" customHeight="1"/>
    <row r="342" ht="21.95" customHeight="1"/>
    <row r="343" ht="21.95" customHeight="1"/>
    <row r="344" ht="21.95" customHeight="1"/>
    <row r="345" ht="21.95" customHeight="1"/>
    <row r="346" ht="21.95" customHeight="1"/>
    <row r="347" ht="21.95" customHeight="1"/>
    <row r="348" ht="21.95" customHeight="1"/>
    <row r="349" ht="21.95" customHeight="1"/>
    <row r="350" ht="21.95" customHeight="1"/>
    <row r="351" ht="21.95" customHeight="1"/>
    <row r="352" ht="21.95" customHeight="1"/>
    <row r="353" ht="21.95" customHeight="1"/>
    <row r="354" ht="21.95" customHeight="1"/>
    <row r="355" ht="21.95" customHeight="1"/>
    <row r="356" ht="21.95" customHeight="1"/>
    <row r="357" ht="21.95" customHeight="1"/>
    <row r="358" ht="21.95" customHeight="1"/>
    <row r="359" ht="21.95" customHeight="1"/>
    <row r="360" ht="21.95" customHeight="1"/>
    <row r="361" ht="21.95" customHeight="1"/>
    <row r="362" ht="21.95" customHeight="1"/>
    <row r="363" ht="21.95" customHeight="1"/>
    <row r="364" ht="21.95" customHeight="1"/>
    <row r="365" ht="21.95" customHeight="1"/>
    <row r="366" ht="21.95" customHeight="1"/>
    <row r="367" ht="21.95" customHeight="1"/>
    <row r="368" ht="21.95" customHeight="1"/>
    <row r="369" ht="21.95" customHeight="1"/>
    <row r="370" ht="21.95" customHeight="1"/>
    <row r="371" ht="21.95" customHeight="1"/>
    <row r="372" ht="21.95" customHeight="1"/>
    <row r="373" ht="21.95" customHeight="1"/>
    <row r="374" ht="21.95" customHeight="1"/>
    <row r="375" ht="21.95" customHeight="1"/>
    <row r="376" ht="21.95" customHeight="1"/>
    <row r="377" ht="21.95" customHeight="1"/>
    <row r="378" ht="21.95" customHeight="1"/>
    <row r="379" ht="21.95" customHeight="1"/>
    <row r="380" ht="21.95" customHeight="1"/>
    <row r="381" ht="21.95" customHeight="1"/>
    <row r="382" ht="21.95" customHeight="1"/>
    <row r="383" ht="21.95" customHeight="1"/>
    <row r="384" ht="21.95" customHeight="1"/>
    <row r="385" ht="21.95" customHeight="1"/>
    <row r="386" ht="21.95" customHeight="1"/>
    <row r="387" ht="21.95" customHeight="1"/>
    <row r="388" ht="21.95" customHeight="1"/>
    <row r="389" ht="21.95" customHeight="1"/>
    <row r="390" ht="21.95" customHeight="1"/>
    <row r="391" ht="21.95" customHeight="1"/>
    <row r="392" ht="21.95" customHeight="1"/>
    <row r="393" ht="21.95" customHeight="1"/>
    <row r="394" ht="21.95" customHeight="1"/>
    <row r="395" ht="21.95" customHeight="1"/>
    <row r="396" ht="21.95" customHeight="1"/>
    <row r="397" ht="21.95" customHeight="1"/>
    <row r="398" ht="21.95" customHeight="1"/>
    <row r="399" ht="21.95" customHeight="1"/>
    <row r="400" ht="21.95" customHeight="1"/>
    <row r="401" ht="21.95" customHeight="1"/>
    <row r="402" ht="21.95" customHeight="1"/>
    <row r="403" ht="21.95" customHeight="1"/>
    <row r="404" ht="21.95" customHeight="1"/>
    <row r="405" ht="21.95" customHeight="1"/>
    <row r="406" ht="21.95" customHeight="1"/>
    <row r="407" ht="21.95" customHeight="1"/>
    <row r="408" ht="21.95" customHeight="1"/>
    <row r="409" ht="21.95" customHeight="1"/>
    <row r="410" ht="21.95" customHeight="1"/>
    <row r="411" ht="21.95" customHeight="1"/>
    <row r="412" ht="21.95" customHeight="1"/>
    <row r="413" ht="21.95" customHeight="1"/>
    <row r="414" ht="21.95" customHeight="1"/>
    <row r="415" ht="21.95" customHeight="1"/>
    <row r="416" ht="21.95" customHeight="1"/>
    <row r="417" ht="21.95" customHeight="1"/>
    <row r="418" ht="21.95" customHeight="1"/>
    <row r="419" ht="21.95" customHeight="1"/>
    <row r="420" ht="21.95" customHeight="1"/>
    <row r="421" ht="21.95" customHeight="1"/>
    <row r="422" ht="21.95" customHeight="1"/>
    <row r="423" ht="21.95" customHeight="1"/>
    <row r="424" ht="21.95" customHeight="1"/>
    <row r="425" ht="21.95" customHeight="1"/>
    <row r="426" ht="21.95" customHeight="1"/>
    <row r="427" ht="21.95" customHeight="1"/>
    <row r="428" ht="21.95" customHeight="1"/>
    <row r="429" ht="21.95" customHeight="1"/>
    <row r="430" ht="21.95" customHeight="1"/>
    <row r="431" ht="21.95" customHeight="1"/>
    <row r="432" ht="21.95" customHeight="1"/>
    <row r="433" ht="21.95" customHeight="1"/>
    <row r="434" ht="21.95" customHeight="1"/>
    <row r="435" ht="21.95" customHeight="1"/>
    <row r="436" ht="21.95" customHeight="1"/>
    <row r="437" ht="21.95" customHeight="1"/>
    <row r="438" ht="21.95" customHeight="1"/>
    <row r="439" ht="21.95" customHeight="1"/>
    <row r="440" ht="21.95" customHeight="1"/>
    <row r="441" ht="21.95" customHeight="1"/>
    <row r="442" ht="21.95" customHeight="1"/>
    <row r="443" ht="21.95" customHeight="1"/>
    <row r="444" ht="21.95" customHeight="1"/>
    <row r="445" ht="21.95" customHeight="1"/>
    <row r="446" ht="21.95" customHeight="1"/>
    <row r="447" ht="21.95" customHeight="1"/>
    <row r="448" ht="21.95" customHeight="1"/>
    <row r="449" ht="21.95" customHeight="1"/>
    <row r="450" ht="21.95" customHeight="1"/>
    <row r="451" ht="21.95" customHeight="1"/>
    <row r="452" ht="21.95" customHeight="1"/>
    <row r="453" ht="21.95" customHeight="1"/>
    <row r="454" ht="21.95" customHeight="1"/>
    <row r="455" ht="21.95" customHeight="1"/>
    <row r="456" ht="21.95" customHeight="1"/>
    <row r="457" ht="21.95" customHeight="1"/>
    <row r="458" ht="21.95" customHeight="1"/>
    <row r="459" ht="21.95" customHeight="1"/>
    <row r="460" ht="21.95" customHeight="1"/>
    <row r="461" ht="21.95" customHeight="1"/>
    <row r="462" ht="21.95" customHeight="1"/>
    <row r="463" ht="21.95" customHeight="1"/>
    <row r="464" ht="21.95" customHeight="1"/>
    <row r="465" ht="21.95" customHeight="1"/>
    <row r="466" ht="21.95" customHeight="1"/>
    <row r="467" ht="21.95" customHeight="1"/>
    <row r="468" ht="21.95" customHeight="1"/>
    <row r="469" ht="21.95" customHeight="1"/>
    <row r="470" ht="21.95" customHeight="1"/>
    <row r="471" ht="21.95" customHeight="1"/>
    <row r="472" ht="21.95" customHeight="1"/>
    <row r="473" ht="21.95" customHeight="1"/>
    <row r="474" ht="21.95" customHeight="1"/>
    <row r="475" ht="21.95" customHeight="1"/>
    <row r="476" ht="21.95" customHeight="1"/>
    <row r="477" ht="21.95" customHeight="1"/>
    <row r="478" ht="21.95" customHeight="1"/>
    <row r="479" ht="21.95" customHeight="1"/>
    <row r="480" ht="21.95" customHeight="1"/>
    <row r="481" ht="21.95" customHeight="1"/>
    <row r="482" ht="21.95" customHeight="1"/>
    <row r="483" ht="21.95" customHeight="1"/>
    <row r="484" ht="21.95" customHeight="1"/>
    <row r="485" ht="21.95" customHeight="1"/>
    <row r="486" ht="21.95" customHeight="1"/>
    <row r="487" ht="21.95" customHeight="1"/>
    <row r="488" ht="21.95" customHeight="1"/>
    <row r="489" ht="21.95" customHeight="1"/>
    <row r="490" ht="21.95" customHeight="1"/>
    <row r="491" ht="21.95" customHeight="1"/>
    <row r="492" ht="21.95" customHeight="1"/>
    <row r="493" ht="21.95" customHeight="1"/>
    <row r="494" ht="21.95" customHeight="1"/>
    <row r="495" ht="21.95" customHeight="1"/>
    <row r="496" ht="21.95" customHeight="1"/>
    <row r="497" ht="21.95" customHeight="1"/>
    <row r="498" ht="21.95" customHeight="1"/>
    <row r="499" ht="21.95" customHeight="1"/>
    <row r="500" ht="21.95" customHeight="1"/>
    <row r="501" ht="21.95" customHeight="1"/>
    <row r="502" ht="21.95" customHeight="1"/>
    <row r="503" ht="21.95" customHeight="1"/>
    <row r="504" ht="21.95" customHeight="1"/>
    <row r="505" ht="21.95" customHeight="1"/>
    <row r="506" ht="21.95" customHeight="1"/>
    <row r="507" ht="21.95" customHeight="1"/>
    <row r="508" ht="21.95" customHeight="1"/>
    <row r="509" ht="21.95" customHeight="1"/>
    <row r="510" ht="21.95" customHeight="1"/>
    <row r="511" ht="21.95" customHeight="1"/>
    <row r="512" ht="21.95" customHeight="1"/>
    <row r="513" ht="21.95" customHeight="1"/>
    <row r="514" ht="21.95" customHeight="1"/>
    <row r="515" ht="21.95" customHeight="1"/>
    <row r="516" ht="21.95" customHeight="1"/>
    <row r="517" ht="21.95" customHeight="1"/>
    <row r="518" ht="21.95" customHeight="1"/>
    <row r="519" ht="21.95" customHeight="1"/>
    <row r="520" ht="21.95" customHeight="1"/>
    <row r="521" ht="21.95" customHeight="1"/>
    <row r="522" ht="21.95" customHeight="1"/>
    <row r="523" ht="21.95" customHeight="1"/>
    <row r="524" ht="21.95" customHeight="1"/>
    <row r="525" ht="21.95" customHeight="1"/>
    <row r="526" ht="21.95" customHeight="1"/>
    <row r="527" ht="21.95" customHeight="1"/>
    <row r="528" ht="21.95" customHeight="1"/>
    <row r="529" ht="21.95" customHeight="1"/>
    <row r="530" ht="21.95" customHeight="1"/>
    <row r="531" ht="21.95" customHeight="1"/>
    <row r="532" ht="21.95" customHeight="1"/>
    <row r="533" ht="21.95" customHeight="1"/>
    <row r="534" ht="21.95" customHeight="1"/>
    <row r="535" ht="21.95" customHeight="1"/>
    <row r="536" ht="21.95" customHeight="1"/>
    <row r="537" ht="21.95" customHeight="1"/>
    <row r="538" ht="21.95" customHeight="1"/>
    <row r="539" ht="21.95" customHeight="1"/>
    <row r="540" ht="21.95" customHeight="1"/>
    <row r="541" ht="21.95" customHeight="1"/>
    <row r="542" ht="21.95" customHeight="1"/>
    <row r="543" ht="21.95" customHeight="1"/>
    <row r="544" ht="21.95" customHeight="1"/>
    <row r="545" ht="21.95" customHeight="1"/>
    <row r="546" ht="21.95" customHeight="1"/>
  </sheetData>
  <autoFilter ref="A2:T82" xr:uid="{00000000-0001-0000-0000-000000000000}">
    <filterColumn colId="18">
      <filters>
        <filter val="2,5"/>
      </filters>
    </filterColumn>
  </autoFilter>
  <mergeCells count="21">
    <mergeCell ref="A109:H109"/>
    <mergeCell ref="A110:H110"/>
    <mergeCell ref="A111:G111"/>
    <mergeCell ref="A112:G112"/>
    <mergeCell ref="A113:H113"/>
    <mergeCell ref="A114:G114"/>
    <mergeCell ref="L94:O94"/>
    <mergeCell ref="L95:O95"/>
    <mergeCell ref="L96:O96"/>
    <mergeCell ref="L97:O97"/>
    <mergeCell ref="A99:P99"/>
    <mergeCell ref="M101:M105"/>
    <mergeCell ref="N101:N105"/>
    <mergeCell ref="O101:O105"/>
    <mergeCell ref="P101:P105"/>
    <mergeCell ref="A1:H1"/>
    <mergeCell ref="A84:L84"/>
    <mergeCell ref="A90:P90"/>
    <mergeCell ref="L91:O91"/>
    <mergeCell ref="L92:O92"/>
    <mergeCell ref="L93:O93"/>
  </mergeCells>
  <phoneticPr fontId="2" type="noConversion"/>
  <pageMargins left="0.23622047244094491" right="0.23622047244094491" top="0.15748031496062992" bottom="0.15748031496062992" header="0" footer="0"/>
  <pageSetup paperSize="8" scale="64" fitToHeight="0" orientation="landscape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12B0-9C93-4B1F-B9D5-563A24F8C4EF}">
  <dimension ref="A1:K146"/>
  <sheetViews>
    <sheetView zoomScale="85" zoomScaleNormal="85" workbookViewId="0"/>
  </sheetViews>
  <sheetFormatPr defaultRowHeight="12.75"/>
  <cols>
    <col min="1" max="1" width="9.85546875" style="7" customWidth="1"/>
    <col min="2" max="2" width="33.28515625" style="7" customWidth="1"/>
    <col min="3" max="3" width="13.140625" style="7" customWidth="1"/>
    <col min="4" max="4" width="21" style="7" customWidth="1"/>
    <col min="5" max="5" width="36.28515625" style="7" customWidth="1"/>
    <col min="6" max="6" width="23.85546875" style="7" customWidth="1"/>
    <col min="7" max="7" width="16.7109375" style="7" customWidth="1"/>
    <col min="8" max="8" width="20.85546875" style="7" customWidth="1"/>
    <col min="9" max="9" width="11.7109375" style="7" customWidth="1"/>
    <col min="10" max="10" width="9.140625" style="7"/>
    <col min="11" max="11" width="55.5703125" style="7" customWidth="1"/>
    <col min="12" max="16384" width="9.140625" style="7"/>
  </cols>
  <sheetData>
    <row r="1" spans="1:11" ht="42" customHeight="1">
      <c r="A1" s="97" t="s">
        <v>235</v>
      </c>
      <c r="B1" s="97"/>
      <c r="C1" s="97"/>
      <c r="D1" s="97"/>
      <c r="E1" s="97"/>
      <c r="F1" s="14"/>
      <c r="G1" s="14"/>
      <c r="H1" s="14"/>
    </row>
    <row r="2" spans="1:11" s="22" customFormat="1" ht="25.5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15</v>
      </c>
      <c r="G2" s="41" t="s">
        <v>16</v>
      </c>
      <c r="H2" s="41" t="s">
        <v>17</v>
      </c>
      <c r="I2" s="98"/>
    </row>
    <row r="3" spans="1:11" s="22" customFormat="1" ht="25.5" customHeight="1">
      <c r="A3" s="14">
        <v>1</v>
      </c>
      <c r="B3" s="14" t="s">
        <v>19</v>
      </c>
      <c r="C3" s="14" t="s">
        <v>20</v>
      </c>
      <c r="D3" s="15">
        <v>2</v>
      </c>
      <c r="E3" s="14" t="s">
        <v>236</v>
      </c>
      <c r="F3" s="99">
        <f>686+686*0.35</f>
        <v>926.1</v>
      </c>
      <c r="G3" s="100">
        <v>1.5</v>
      </c>
      <c r="H3" s="101" t="s">
        <v>237</v>
      </c>
      <c r="I3" s="21"/>
    </row>
    <row r="4" spans="1:11" ht="25.5" customHeight="1">
      <c r="A4" s="14">
        <v>2</v>
      </c>
      <c r="B4" s="14" t="s">
        <v>25</v>
      </c>
      <c r="C4" s="14" t="s">
        <v>20</v>
      </c>
      <c r="D4" s="15">
        <v>2</v>
      </c>
      <c r="E4" s="14" t="s">
        <v>238</v>
      </c>
      <c r="F4" s="102"/>
      <c r="G4" s="103"/>
      <c r="H4" s="104"/>
      <c r="I4" s="21"/>
      <c r="K4" s="23"/>
    </row>
    <row r="5" spans="1:11" ht="25.5" customHeight="1">
      <c r="A5" s="14">
        <v>3</v>
      </c>
      <c r="B5" s="14" t="s">
        <v>27</v>
      </c>
      <c r="C5" s="14" t="s">
        <v>20</v>
      </c>
      <c r="D5" s="15">
        <v>2</v>
      </c>
      <c r="E5" s="14" t="s">
        <v>239</v>
      </c>
      <c r="F5" s="102"/>
      <c r="G5" s="103"/>
      <c r="H5" s="104"/>
      <c r="I5" s="21"/>
      <c r="K5" s="23"/>
    </row>
    <row r="6" spans="1:11" ht="25.5" customHeight="1">
      <c r="A6" s="14">
        <v>4</v>
      </c>
      <c r="B6" s="14" t="s">
        <v>29</v>
      </c>
      <c r="C6" s="14" t="s">
        <v>20</v>
      </c>
      <c r="D6" s="15">
        <v>2</v>
      </c>
      <c r="E6" s="14" t="s">
        <v>240</v>
      </c>
      <c r="F6" s="102"/>
      <c r="G6" s="103"/>
      <c r="H6" s="104"/>
      <c r="I6" s="21"/>
      <c r="K6" s="23"/>
    </row>
    <row r="7" spans="1:11" ht="25.5" customHeight="1">
      <c r="A7" s="14">
        <v>5</v>
      </c>
      <c r="B7" s="14" t="s">
        <v>31</v>
      </c>
      <c r="C7" s="14" t="s">
        <v>32</v>
      </c>
      <c r="D7" s="15">
        <v>1</v>
      </c>
      <c r="E7" s="14" t="s">
        <v>241</v>
      </c>
      <c r="F7" s="102"/>
      <c r="G7" s="103"/>
      <c r="H7" s="104"/>
      <c r="I7" s="21"/>
      <c r="K7" s="23"/>
    </row>
    <row r="8" spans="1:11" ht="25.5" customHeight="1">
      <c r="A8" s="14">
        <v>6</v>
      </c>
      <c r="B8" s="14" t="s">
        <v>34</v>
      </c>
      <c r="C8" s="14" t="s">
        <v>20</v>
      </c>
      <c r="D8" s="15">
        <v>1.5</v>
      </c>
      <c r="E8" s="14" t="s">
        <v>242</v>
      </c>
      <c r="F8" s="102"/>
      <c r="G8" s="103"/>
      <c r="H8" s="104"/>
      <c r="I8" s="21"/>
      <c r="K8" s="23"/>
    </row>
    <row r="9" spans="1:11" ht="25.5" customHeight="1">
      <c r="A9" s="14">
        <v>7</v>
      </c>
      <c r="B9" s="14" t="s">
        <v>36</v>
      </c>
      <c r="C9" s="14" t="s">
        <v>20</v>
      </c>
      <c r="D9" s="15">
        <v>1.5</v>
      </c>
      <c r="E9" s="14" t="s">
        <v>243</v>
      </c>
      <c r="F9" s="102"/>
      <c r="G9" s="103"/>
      <c r="H9" s="104"/>
      <c r="I9" s="21"/>
      <c r="K9" s="23"/>
    </row>
    <row r="10" spans="1:11" ht="25.5" customHeight="1">
      <c r="A10" s="14">
        <v>8</v>
      </c>
      <c r="B10" s="14" t="s">
        <v>38</v>
      </c>
      <c r="C10" s="14" t="s">
        <v>20</v>
      </c>
      <c r="D10" s="15">
        <v>1.5</v>
      </c>
      <c r="E10" s="14" t="s">
        <v>244</v>
      </c>
      <c r="F10" s="102"/>
      <c r="G10" s="103"/>
      <c r="H10" s="104"/>
      <c r="I10" s="21"/>
    </row>
    <row r="11" spans="1:11" ht="25.5" customHeight="1">
      <c r="A11" s="14">
        <v>9</v>
      </c>
      <c r="B11" s="14" t="s">
        <v>40</v>
      </c>
      <c r="C11" s="14" t="s">
        <v>20</v>
      </c>
      <c r="D11" s="15">
        <v>1.5</v>
      </c>
      <c r="E11" s="14" t="s">
        <v>245</v>
      </c>
      <c r="F11" s="102"/>
      <c r="G11" s="103"/>
      <c r="H11" s="104"/>
      <c r="I11" s="21"/>
    </row>
    <row r="12" spans="1:11" ht="25.5" customHeight="1">
      <c r="A12" s="14">
        <v>10</v>
      </c>
      <c r="B12" s="14" t="s">
        <v>42</v>
      </c>
      <c r="C12" s="14" t="s">
        <v>20</v>
      </c>
      <c r="D12" s="15">
        <v>1.5</v>
      </c>
      <c r="E12" s="14" t="s">
        <v>246</v>
      </c>
      <c r="F12" s="102"/>
      <c r="G12" s="103"/>
      <c r="H12" s="104"/>
      <c r="I12" s="21"/>
    </row>
    <row r="13" spans="1:11" ht="25.5" customHeight="1">
      <c r="A13" s="14">
        <v>11</v>
      </c>
      <c r="B13" s="14" t="s">
        <v>44</v>
      </c>
      <c r="C13" s="14" t="s">
        <v>20</v>
      </c>
      <c r="D13" s="15">
        <v>1.5</v>
      </c>
      <c r="E13" s="14" t="s">
        <v>247</v>
      </c>
      <c r="F13" s="102"/>
      <c r="G13" s="103"/>
      <c r="H13" s="104"/>
      <c r="I13" s="21"/>
    </row>
    <row r="14" spans="1:11" ht="25.5" customHeight="1">
      <c r="A14" s="14">
        <v>12</v>
      </c>
      <c r="B14" s="14" t="s">
        <v>46</v>
      </c>
      <c r="C14" s="14" t="s">
        <v>20</v>
      </c>
      <c r="D14" s="15">
        <v>2</v>
      </c>
      <c r="E14" s="14" t="s">
        <v>248</v>
      </c>
      <c r="F14" s="102"/>
      <c r="G14" s="103"/>
      <c r="H14" s="104"/>
      <c r="I14" s="21"/>
    </row>
    <row r="15" spans="1:11" ht="25.5" customHeight="1">
      <c r="A15" s="14">
        <v>13</v>
      </c>
      <c r="B15" s="14" t="s">
        <v>48</v>
      </c>
      <c r="C15" s="14" t="s">
        <v>20</v>
      </c>
      <c r="D15" s="15">
        <v>1.5</v>
      </c>
      <c r="E15" s="14" t="s">
        <v>249</v>
      </c>
      <c r="F15" s="102"/>
      <c r="G15" s="103"/>
      <c r="H15" s="104"/>
      <c r="I15" s="21"/>
    </row>
    <row r="16" spans="1:11" ht="25.5" customHeight="1">
      <c r="A16" s="14">
        <v>14</v>
      </c>
      <c r="B16" s="14" t="s">
        <v>50</v>
      </c>
      <c r="C16" s="14" t="s">
        <v>20</v>
      </c>
      <c r="D16" s="15">
        <v>1.5</v>
      </c>
      <c r="E16" s="14" t="s">
        <v>250</v>
      </c>
      <c r="F16" s="102"/>
      <c r="G16" s="103"/>
      <c r="H16" s="104"/>
      <c r="I16" s="21"/>
    </row>
    <row r="17" spans="1:9" ht="25.5" customHeight="1">
      <c r="A17" s="14">
        <v>15</v>
      </c>
      <c r="B17" s="14" t="s">
        <v>52</v>
      </c>
      <c r="C17" s="14" t="s">
        <v>20</v>
      </c>
      <c r="D17" s="15">
        <v>1.5</v>
      </c>
      <c r="E17" s="14" t="s">
        <v>251</v>
      </c>
      <c r="F17" s="102"/>
      <c r="G17" s="103"/>
      <c r="H17" s="104"/>
      <c r="I17" s="21"/>
    </row>
    <row r="18" spans="1:9" ht="25.5" customHeight="1">
      <c r="A18" s="14">
        <v>16</v>
      </c>
      <c r="B18" s="14" t="s">
        <v>54</v>
      </c>
      <c r="C18" s="14" t="s">
        <v>20</v>
      </c>
      <c r="D18" s="15">
        <v>1.5</v>
      </c>
      <c r="E18" s="14" t="s">
        <v>252</v>
      </c>
      <c r="F18" s="102"/>
      <c r="G18" s="103"/>
      <c r="H18" s="104"/>
      <c r="I18" s="21"/>
    </row>
    <row r="19" spans="1:9" ht="25.5" customHeight="1">
      <c r="A19" s="14">
        <v>17</v>
      </c>
      <c r="B19" s="14" t="s">
        <v>56</v>
      </c>
      <c r="C19" s="14" t="s">
        <v>20</v>
      </c>
      <c r="D19" s="15">
        <v>1.5</v>
      </c>
      <c r="E19" s="14" t="s">
        <v>253</v>
      </c>
      <c r="F19" s="102"/>
      <c r="G19" s="103"/>
      <c r="H19" s="104"/>
      <c r="I19" s="21"/>
    </row>
    <row r="20" spans="1:9" ht="25.5" customHeight="1">
      <c r="A20" s="14">
        <v>18</v>
      </c>
      <c r="B20" s="14" t="s">
        <v>58</v>
      </c>
      <c r="C20" s="14" t="s">
        <v>20</v>
      </c>
      <c r="D20" s="15">
        <v>1.5</v>
      </c>
      <c r="E20" s="14" t="s">
        <v>254</v>
      </c>
      <c r="F20" s="102"/>
      <c r="G20" s="103"/>
      <c r="H20" s="104"/>
      <c r="I20" s="21"/>
    </row>
    <row r="21" spans="1:9" ht="25.5" customHeight="1">
      <c r="A21" s="14">
        <v>19</v>
      </c>
      <c r="B21" s="14" t="s">
        <v>60</v>
      </c>
      <c r="C21" s="14" t="s">
        <v>20</v>
      </c>
      <c r="D21" s="15">
        <v>4</v>
      </c>
      <c r="E21" s="14" t="s">
        <v>255</v>
      </c>
      <c r="F21" s="102"/>
      <c r="G21" s="103"/>
      <c r="H21" s="104"/>
      <c r="I21" s="21"/>
    </row>
    <row r="22" spans="1:9" ht="25.5" customHeight="1">
      <c r="A22" s="14">
        <v>20</v>
      </c>
      <c r="B22" s="14" t="s">
        <v>62</v>
      </c>
      <c r="C22" s="14" t="s">
        <v>20</v>
      </c>
      <c r="D22" s="15">
        <v>4</v>
      </c>
      <c r="E22" s="14" t="s">
        <v>256</v>
      </c>
      <c r="F22" s="102"/>
      <c r="G22" s="103"/>
      <c r="H22" s="104"/>
      <c r="I22" s="21"/>
    </row>
    <row r="23" spans="1:9" ht="25.5" customHeight="1">
      <c r="A23" s="14">
        <v>21</v>
      </c>
      <c r="B23" s="14" t="s">
        <v>64</v>
      </c>
      <c r="C23" s="14" t="s">
        <v>20</v>
      </c>
      <c r="D23" s="15">
        <v>4</v>
      </c>
      <c r="E23" s="14" t="s">
        <v>257</v>
      </c>
      <c r="F23" s="102"/>
      <c r="G23" s="103"/>
      <c r="H23" s="104"/>
      <c r="I23" s="21"/>
    </row>
    <row r="24" spans="1:9" ht="25.5" customHeight="1">
      <c r="A24" s="14">
        <v>22</v>
      </c>
      <c r="B24" s="14" t="s">
        <v>66</v>
      </c>
      <c r="C24" s="14" t="s">
        <v>20</v>
      </c>
      <c r="D24" s="15">
        <v>4</v>
      </c>
      <c r="E24" s="14" t="s">
        <v>258</v>
      </c>
      <c r="F24" s="102"/>
      <c r="G24" s="103"/>
      <c r="H24" s="104"/>
      <c r="I24" s="21"/>
    </row>
    <row r="25" spans="1:9" ht="25.5" customHeight="1">
      <c r="A25" s="14">
        <v>23</v>
      </c>
      <c r="B25" s="14" t="s">
        <v>68</v>
      </c>
      <c r="C25" s="14" t="s">
        <v>20</v>
      </c>
      <c r="D25" s="15">
        <v>4</v>
      </c>
      <c r="E25" s="14" t="s">
        <v>259</v>
      </c>
      <c r="F25" s="102"/>
      <c r="G25" s="103"/>
      <c r="H25" s="104"/>
      <c r="I25" s="21"/>
    </row>
    <row r="26" spans="1:9" ht="25.5" customHeight="1">
      <c r="A26" s="14">
        <v>24</v>
      </c>
      <c r="B26" s="14" t="s">
        <v>70</v>
      </c>
      <c r="C26" s="14" t="s">
        <v>20</v>
      </c>
      <c r="D26" s="15">
        <v>4</v>
      </c>
      <c r="E26" s="14" t="s">
        <v>260</v>
      </c>
      <c r="F26" s="102"/>
      <c r="G26" s="103"/>
      <c r="H26" s="104"/>
      <c r="I26" s="21"/>
    </row>
    <row r="27" spans="1:9" ht="25.5" customHeight="1">
      <c r="A27" s="14">
        <v>25</v>
      </c>
      <c r="B27" s="14" t="s">
        <v>72</v>
      </c>
      <c r="C27" s="14" t="s">
        <v>20</v>
      </c>
      <c r="D27" s="15">
        <v>4</v>
      </c>
      <c r="E27" s="14" t="s">
        <v>261</v>
      </c>
      <c r="F27" s="102"/>
      <c r="G27" s="103"/>
      <c r="H27" s="104"/>
      <c r="I27" s="21"/>
    </row>
    <row r="28" spans="1:9" ht="25.5" customHeight="1">
      <c r="A28" s="14">
        <v>26</v>
      </c>
      <c r="B28" s="14" t="s">
        <v>74</v>
      </c>
      <c r="C28" s="14" t="s">
        <v>20</v>
      </c>
      <c r="D28" s="15">
        <v>4</v>
      </c>
      <c r="E28" s="14" t="s">
        <v>262</v>
      </c>
      <c r="F28" s="102"/>
      <c r="G28" s="103"/>
      <c r="H28" s="104"/>
      <c r="I28" s="21"/>
    </row>
    <row r="29" spans="1:9" ht="25.5" customHeight="1">
      <c r="A29" s="14">
        <v>27</v>
      </c>
      <c r="B29" s="14" t="s">
        <v>76</v>
      </c>
      <c r="C29" s="14" t="s">
        <v>20</v>
      </c>
      <c r="D29" s="15">
        <v>4</v>
      </c>
      <c r="E29" s="14" t="s">
        <v>263</v>
      </c>
      <c r="F29" s="102"/>
      <c r="G29" s="103"/>
      <c r="H29" s="104"/>
      <c r="I29" s="21"/>
    </row>
    <row r="30" spans="1:9" ht="25.5" customHeight="1">
      <c r="A30" s="14">
        <v>28</v>
      </c>
      <c r="B30" s="14" t="s">
        <v>78</v>
      </c>
      <c r="C30" s="14" t="s">
        <v>20</v>
      </c>
      <c r="D30" s="15">
        <v>4</v>
      </c>
      <c r="E30" s="14" t="s">
        <v>264</v>
      </c>
      <c r="F30" s="102"/>
      <c r="G30" s="103"/>
      <c r="H30" s="104"/>
      <c r="I30" s="21"/>
    </row>
    <row r="31" spans="1:9" ht="25.5" customHeight="1">
      <c r="A31" s="14">
        <v>29</v>
      </c>
      <c r="B31" s="14" t="s">
        <v>80</v>
      </c>
      <c r="C31" s="14" t="s">
        <v>20</v>
      </c>
      <c r="D31" s="15">
        <v>4</v>
      </c>
      <c r="E31" s="14" t="s">
        <v>265</v>
      </c>
      <c r="F31" s="102"/>
      <c r="G31" s="103"/>
      <c r="H31" s="104"/>
      <c r="I31" s="21"/>
    </row>
    <row r="32" spans="1:9" ht="25.5" customHeight="1">
      <c r="A32" s="14">
        <v>30</v>
      </c>
      <c r="B32" s="14" t="s">
        <v>82</v>
      </c>
      <c r="C32" s="14" t="s">
        <v>20</v>
      </c>
      <c r="D32" s="15">
        <v>2</v>
      </c>
      <c r="E32" s="14" t="s">
        <v>266</v>
      </c>
      <c r="F32" s="102"/>
      <c r="G32" s="103"/>
      <c r="H32" s="104"/>
      <c r="I32" s="21"/>
    </row>
    <row r="33" spans="1:9" ht="25.5" customHeight="1">
      <c r="A33" s="14">
        <v>31</v>
      </c>
      <c r="B33" s="14" t="s">
        <v>84</v>
      </c>
      <c r="C33" s="14" t="s">
        <v>20</v>
      </c>
      <c r="D33" s="15">
        <v>2</v>
      </c>
      <c r="E33" s="14" t="s">
        <v>267</v>
      </c>
      <c r="F33" s="102"/>
      <c r="G33" s="103"/>
      <c r="H33" s="104"/>
      <c r="I33" s="21"/>
    </row>
    <row r="34" spans="1:9" ht="25.5" customHeight="1">
      <c r="A34" s="14">
        <v>32</v>
      </c>
      <c r="B34" s="14" t="s">
        <v>86</v>
      </c>
      <c r="C34" s="14" t="s">
        <v>20</v>
      </c>
      <c r="D34" s="15">
        <v>2</v>
      </c>
      <c r="E34" s="14" t="s">
        <v>268</v>
      </c>
      <c r="F34" s="102"/>
      <c r="G34" s="103"/>
      <c r="H34" s="104"/>
      <c r="I34" s="21"/>
    </row>
    <row r="35" spans="1:9" ht="25.5" customHeight="1">
      <c r="A35" s="14">
        <v>33</v>
      </c>
      <c r="B35" s="14" t="s">
        <v>88</v>
      </c>
      <c r="C35" s="14" t="s">
        <v>20</v>
      </c>
      <c r="D35" s="15">
        <v>2</v>
      </c>
      <c r="E35" s="14" t="s">
        <v>269</v>
      </c>
      <c r="F35" s="102"/>
      <c r="G35" s="103"/>
      <c r="H35" s="104"/>
      <c r="I35" s="21"/>
    </row>
    <row r="36" spans="1:9" ht="25.5" customHeight="1">
      <c r="A36" s="14">
        <v>34</v>
      </c>
      <c r="B36" s="14" t="s">
        <v>90</v>
      </c>
      <c r="C36" s="14" t="s">
        <v>91</v>
      </c>
      <c r="D36" s="15">
        <v>1</v>
      </c>
      <c r="E36" s="14" t="s">
        <v>270</v>
      </c>
      <c r="F36" s="102"/>
      <c r="G36" s="103"/>
      <c r="H36" s="104"/>
      <c r="I36" s="21"/>
    </row>
    <row r="37" spans="1:9" ht="25.5" customHeight="1">
      <c r="A37" s="14">
        <v>35</v>
      </c>
      <c r="B37" s="14" t="s">
        <v>93</v>
      </c>
      <c r="C37" s="14" t="s">
        <v>20</v>
      </c>
      <c r="D37" s="15">
        <v>1</v>
      </c>
      <c r="E37" s="14" t="s">
        <v>271</v>
      </c>
      <c r="F37" s="102"/>
      <c r="G37" s="103"/>
      <c r="H37" s="104"/>
      <c r="I37" s="21"/>
    </row>
    <row r="38" spans="1:9" ht="25.5" customHeight="1">
      <c r="A38" s="14">
        <v>36</v>
      </c>
      <c r="B38" s="14" t="s">
        <v>95</v>
      </c>
      <c r="C38" s="14" t="s">
        <v>20</v>
      </c>
      <c r="D38" s="15">
        <v>1.5</v>
      </c>
      <c r="E38" s="14" t="s">
        <v>272</v>
      </c>
      <c r="F38" s="102"/>
      <c r="G38" s="103"/>
      <c r="H38" s="104"/>
      <c r="I38" s="21"/>
    </row>
    <row r="39" spans="1:9" ht="25.5" customHeight="1">
      <c r="A39" s="14">
        <v>37</v>
      </c>
      <c r="B39" s="14" t="s">
        <v>97</v>
      </c>
      <c r="C39" s="14" t="s">
        <v>20</v>
      </c>
      <c r="D39" s="15">
        <v>2</v>
      </c>
      <c r="E39" s="14" t="s">
        <v>273</v>
      </c>
      <c r="F39" s="102"/>
      <c r="G39" s="103"/>
      <c r="H39" s="104"/>
      <c r="I39" s="21"/>
    </row>
    <row r="40" spans="1:9" ht="25.5" customHeight="1">
      <c r="A40" s="14">
        <v>38</v>
      </c>
      <c r="B40" s="14" t="s">
        <v>99</v>
      </c>
      <c r="C40" s="14" t="s">
        <v>20</v>
      </c>
      <c r="D40" s="15">
        <v>1.5</v>
      </c>
      <c r="E40" s="14" t="s">
        <v>274</v>
      </c>
      <c r="F40" s="102"/>
      <c r="G40" s="103"/>
      <c r="H40" s="104"/>
      <c r="I40" s="21"/>
    </row>
    <row r="41" spans="1:9" ht="25.5" customHeight="1">
      <c r="A41" s="14">
        <v>39</v>
      </c>
      <c r="B41" s="14" t="s">
        <v>101</v>
      </c>
      <c r="C41" s="14" t="s">
        <v>20</v>
      </c>
      <c r="D41" s="15">
        <v>1.5</v>
      </c>
      <c r="E41" s="14" t="s">
        <v>275</v>
      </c>
      <c r="F41" s="102"/>
      <c r="G41" s="103"/>
      <c r="H41" s="104"/>
      <c r="I41" s="21"/>
    </row>
    <row r="42" spans="1:9" ht="25.5" customHeight="1">
      <c r="A42" s="14">
        <v>40</v>
      </c>
      <c r="B42" s="14" t="s">
        <v>103</v>
      </c>
      <c r="C42" s="14" t="s">
        <v>20</v>
      </c>
      <c r="D42" s="15">
        <v>1.5</v>
      </c>
      <c r="E42" s="14" t="s">
        <v>276</v>
      </c>
      <c r="F42" s="102"/>
      <c r="G42" s="103"/>
      <c r="H42" s="104"/>
      <c r="I42" s="21"/>
    </row>
    <row r="43" spans="1:9" ht="25.5" customHeight="1">
      <c r="A43" s="14">
        <v>41</v>
      </c>
      <c r="B43" s="14" t="s">
        <v>105</v>
      </c>
      <c r="C43" s="14" t="s">
        <v>20</v>
      </c>
      <c r="D43" s="15">
        <v>2</v>
      </c>
      <c r="E43" s="14" t="s">
        <v>277</v>
      </c>
      <c r="F43" s="102"/>
      <c r="G43" s="103"/>
      <c r="H43" s="104"/>
      <c r="I43" s="21"/>
    </row>
    <row r="44" spans="1:9" ht="25.5" customHeight="1">
      <c r="A44" s="14">
        <v>42</v>
      </c>
      <c r="B44" s="14" t="s">
        <v>107</v>
      </c>
      <c r="C44" s="14" t="s">
        <v>20</v>
      </c>
      <c r="D44" s="15">
        <v>2</v>
      </c>
      <c r="E44" s="14" t="s">
        <v>278</v>
      </c>
      <c r="F44" s="102"/>
      <c r="G44" s="103"/>
      <c r="H44" s="104"/>
      <c r="I44" s="21"/>
    </row>
    <row r="45" spans="1:9" ht="25.5" customHeight="1">
      <c r="A45" s="14">
        <v>43</v>
      </c>
      <c r="B45" s="14" t="s">
        <v>109</v>
      </c>
      <c r="C45" s="14" t="s">
        <v>20</v>
      </c>
      <c r="D45" s="15">
        <v>1</v>
      </c>
      <c r="E45" s="14" t="s">
        <v>279</v>
      </c>
      <c r="F45" s="102"/>
      <c r="G45" s="103"/>
      <c r="H45" s="104"/>
      <c r="I45" s="21"/>
    </row>
    <row r="46" spans="1:9" ht="25.5" customHeight="1">
      <c r="A46" s="14">
        <v>44</v>
      </c>
      <c r="B46" s="14" t="s">
        <v>111</v>
      </c>
      <c r="C46" s="14" t="s">
        <v>20</v>
      </c>
      <c r="D46" s="15">
        <v>1</v>
      </c>
      <c r="E46" s="14" t="s">
        <v>280</v>
      </c>
      <c r="F46" s="102"/>
      <c r="G46" s="103"/>
      <c r="H46" s="104"/>
      <c r="I46" s="21"/>
    </row>
    <row r="47" spans="1:9" ht="25.5" customHeight="1">
      <c r="A47" s="14">
        <v>45</v>
      </c>
      <c r="B47" s="14" t="s">
        <v>113</v>
      </c>
      <c r="C47" s="14" t="s">
        <v>20</v>
      </c>
      <c r="D47" s="15">
        <v>1</v>
      </c>
      <c r="E47" s="14" t="s">
        <v>281</v>
      </c>
      <c r="F47" s="102"/>
      <c r="G47" s="103"/>
      <c r="H47" s="104"/>
      <c r="I47" s="21"/>
    </row>
    <row r="48" spans="1:9" ht="25.5" customHeight="1">
      <c r="A48" s="14">
        <v>46</v>
      </c>
      <c r="B48" s="14" t="s">
        <v>115</v>
      </c>
      <c r="C48" s="14" t="s">
        <v>20</v>
      </c>
      <c r="D48" s="15">
        <v>2</v>
      </c>
      <c r="E48" s="14" t="s">
        <v>282</v>
      </c>
      <c r="F48" s="102"/>
      <c r="G48" s="103"/>
      <c r="H48" s="104"/>
      <c r="I48" s="21"/>
    </row>
    <row r="49" spans="1:9" ht="25.5" customHeight="1">
      <c r="A49" s="14">
        <v>47</v>
      </c>
      <c r="B49" s="14" t="s">
        <v>117</v>
      </c>
      <c r="C49" s="14" t="s">
        <v>20</v>
      </c>
      <c r="D49" s="15">
        <v>1</v>
      </c>
      <c r="E49" s="14" t="s">
        <v>283</v>
      </c>
      <c r="F49" s="102"/>
      <c r="G49" s="103"/>
      <c r="H49" s="104"/>
      <c r="I49" s="21"/>
    </row>
    <row r="50" spans="1:9" ht="25.5" customHeight="1">
      <c r="A50" s="14">
        <v>48</v>
      </c>
      <c r="B50" s="14" t="s">
        <v>119</v>
      </c>
      <c r="C50" s="14" t="s">
        <v>20</v>
      </c>
      <c r="D50" s="15">
        <v>1</v>
      </c>
      <c r="E50" s="14" t="s">
        <v>284</v>
      </c>
      <c r="F50" s="102"/>
      <c r="G50" s="103"/>
      <c r="H50" s="104"/>
      <c r="I50" s="21"/>
    </row>
    <row r="51" spans="1:9" ht="25.5" customHeight="1">
      <c r="A51" s="14">
        <v>49</v>
      </c>
      <c r="B51" s="14" t="s">
        <v>121</v>
      </c>
      <c r="C51" s="14" t="s">
        <v>20</v>
      </c>
      <c r="D51" s="15">
        <v>1</v>
      </c>
      <c r="E51" s="14" t="s">
        <v>285</v>
      </c>
      <c r="F51" s="102"/>
      <c r="G51" s="103"/>
      <c r="H51" s="104"/>
      <c r="I51" s="21"/>
    </row>
    <row r="52" spans="1:9" ht="25.5" customHeight="1">
      <c r="A52" s="14">
        <v>50</v>
      </c>
      <c r="B52" s="14" t="s">
        <v>123</v>
      </c>
      <c r="C52" s="14" t="s">
        <v>20</v>
      </c>
      <c r="D52" s="15">
        <v>1.5</v>
      </c>
      <c r="E52" s="14" t="s">
        <v>286</v>
      </c>
      <c r="F52" s="102"/>
      <c r="G52" s="103"/>
      <c r="H52" s="104"/>
      <c r="I52" s="21"/>
    </row>
    <row r="53" spans="1:9" ht="25.5" customHeight="1">
      <c r="A53" s="14">
        <v>51</v>
      </c>
      <c r="B53" s="14" t="s">
        <v>125</v>
      </c>
      <c r="C53" s="14" t="s">
        <v>20</v>
      </c>
      <c r="D53" s="15">
        <v>1.5</v>
      </c>
      <c r="E53" s="14" t="s">
        <v>287</v>
      </c>
      <c r="F53" s="102"/>
      <c r="G53" s="103"/>
      <c r="H53" s="104"/>
      <c r="I53" s="21"/>
    </row>
    <row r="54" spans="1:9" ht="25.5" customHeight="1">
      <c r="A54" s="14">
        <v>52</v>
      </c>
      <c r="B54" s="14" t="s">
        <v>127</v>
      </c>
      <c r="C54" s="14" t="s">
        <v>20</v>
      </c>
      <c r="D54" s="15">
        <v>1.5</v>
      </c>
      <c r="E54" s="14" t="s">
        <v>288</v>
      </c>
      <c r="F54" s="102"/>
      <c r="G54" s="103"/>
      <c r="H54" s="104"/>
      <c r="I54" s="21"/>
    </row>
    <row r="55" spans="1:9" ht="25.5" customHeight="1">
      <c r="A55" s="14">
        <v>53</v>
      </c>
      <c r="B55" s="14" t="s">
        <v>129</v>
      </c>
      <c r="C55" s="14" t="s">
        <v>20</v>
      </c>
      <c r="D55" s="15">
        <v>1</v>
      </c>
      <c r="E55" s="14" t="s">
        <v>289</v>
      </c>
      <c r="F55" s="102"/>
      <c r="G55" s="103"/>
      <c r="H55" s="104"/>
      <c r="I55" s="21"/>
    </row>
    <row r="56" spans="1:9" ht="25.5" customHeight="1">
      <c r="A56" s="14">
        <v>54</v>
      </c>
      <c r="B56" s="14" t="s">
        <v>131</v>
      </c>
      <c r="C56" s="14" t="s">
        <v>20</v>
      </c>
      <c r="D56" s="15">
        <v>1</v>
      </c>
      <c r="E56" s="14" t="s">
        <v>290</v>
      </c>
      <c r="F56" s="102"/>
      <c r="G56" s="103"/>
      <c r="H56" s="104"/>
      <c r="I56" s="21"/>
    </row>
    <row r="57" spans="1:9" ht="25.5" customHeight="1">
      <c r="A57" s="14">
        <v>55</v>
      </c>
      <c r="B57" s="14" t="s">
        <v>133</v>
      </c>
      <c r="C57" s="14" t="s">
        <v>20</v>
      </c>
      <c r="D57" s="15">
        <v>1</v>
      </c>
      <c r="E57" s="14" t="s">
        <v>291</v>
      </c>
      <c r="F57" s="102"/>
      <c r="G57" s="103"/>
      <c r="H57" s="104"/>
      <c r="I57" s="21"/>
    </row>
    <row r="58" spans="1:9" ht="25.5" customHeight="1">
      <c r="A58" s="14">
        <v>56</v>
      </c>
      <c r="B58" s="14" t="s">
        <v>135</v>
      </c>
      <c r="C58" s="14" t="s">
        <v>20</v>
      </c>
      <c r="D58" s="15">
        <v>1</v>
      </c>
      <c r="E58" s="14" t="s">
        <v>292</v>
      </c>
      <c r="F58" s="102"/>
      <c r="G58" s="103"/>
      <c r="H58" s="104"/>
      <c r="I58" s="21"/>
    </row>
    <row r="59" spans="1:9" ht="25.5" customHeight="1">
      <c r="A59" s="14">
        <v>57</v>
      </c>
      <c r="B59" s="14" t="s">
        <v>137</v>
      </c>
      <c r="C59" s="14" t="s">
        <v>20</v>
      </c>
      <c r="D59" s="15">
        <v>1.5</v>
      </c>
      <c r="E59" s="14" t="s">
        <v>293</v>
      </c>
      <c r="F59" s="102"/>
      <c r="G59" s="103"/>
      <c r="H59" s="104"/>
      <c r="I59" s="21"/>
    </row>
    <row r="60" spans="1:9" ht="25.5" customHeight="1">
      <c r="A60" s="14">
        <v>58</v>
      </c>
      <c r="B60" s="14" t="s">
        <v>139</v>
      </c>
      <c r="C60" s="14" t="s">
        <v>140</v>
      </c>
      <c r="D60" s="14" t="s">
        <v>141</v>
      </c>
      <c r="E60" s="14" t="s">
        <v>294</v>
      </c>
      <c r="F60" s="102"/>
      <c r="G60" s="103"/>
      <c r="H60" s="104"/>
      <c r="I60" s="21"/>
    </row>
    <row r="61" spans="1:9" ht="25.5" customHeight="1">
      <c r="A61" s="14">
        <v>59</v>
      </c>
      <c r="B61" s="14" t="s">
        <v>144</v>
      </c>
      <c r="C61" s="14" t="s">
        <v>145</v>
      </c>
      <c r="D61" s="14" t="s">
        <v>146</v>
      </c>
      <c r="E61" s="14" t="s">
        <v>295</v>
      </c>
      <c r="F61" s="102"/>
      <c r="G61" s="103"/>
      <c r="H61" s="104"/>
      <c r="I61" s="21"/>
    </row>
    <row r="62" spans="1:9" ht="25.5" customHeight="1">
      <c r="A62" s="14">
        <v>60</v>
      </c>
      <c r="B62" s="14" t="s">
        <v>148</v>
      </c>
      <c r="C62" s="14" t="s">
        <v>149</v>
      </c>
      <c r="D62" s="14" t="s">
        <v>150</v>
      </c>
      <c r="E62" s="14" t="s">
        <v>296</v>
      </c>
      <c r="F62" s="102"/>
      <c r="G62" s="103"/>
      <c r="H62" s="104"/>
      <c r="I62" s="21"/>
    </row>
    <row r="63" spans="1:9" ht="25.5" customHeight="1">
      <c r="A63" s="14">
        <v>61</v>
      </c>
      <c r="B63" s="14" t="s">
        <v>152</v>
      </c>
      <c r="C63" s="14" t="s">
        <v>153</v>
      </c>
      <c r="D63" s="14" t="s">
        <v>154</v>
      </c>
      <c r="E63" s="14" t="s">
        <v>297</v>
      </c>
      <c r="F63" s="102"/>
      <c r="G63" s="103"/>
      <c r="H63" s="104"/>
      <c r="I63" s="21"/>
    </row>
    <row r="64" spans="1:9" ht="25.5" customHeight="1">
      <c r="A64" s="14">
        <v>62</v>
      </c>
      <c r="B64" s="14" t="s">
        <v>156</v>
      </c>
      <c r="C64" s="14" t="s">
        <v>156</v>
      </c>
      <c r="D64" s="14" t="s">
        <v>157</v>
      </c>
      <c r="E64" s="14" t="s">
        <v>298</v>
      </c>
      <c r="F64" s="102"/>
      <c r="G64" s="103"/>
      <c r="H64" s="104"/>
      <c r="I64" s="21"/>
    </row>
    <row r="65" spans="1:11" ht="25.5" customHeight="1">
      <c r="A65" s="14">
        <v>63</v>
      </c>
      <c r="B65" s="14" t="s">
        <v>159</v>
      </c>
      <c r="C65" s="14" t="s">
        <v>159</v>
      </c>
      <c r="D65" s="14" t="s">
        <v>160</v>
      </c>
      <c r="E65" s="14" t="s">
        <v>299</v>
      </c>
      <c r="F65" s="105"/>
      <c r="G65" s="106"/>
      <c r="H65" s="107"/>
      <c r="I65" s="21"/>
    </row>
    <row r="66" spans="1:11">
      <c r="A66" s="108" t="s">
        <v>300</v>
      </c>
      <c r="B66" s="109"/>
      <c r="C66" s="109"/>
      <c r="D66" s="109"/>
      <c r="E66" s="110"/>
      <c r="F66" s="111">
        <f>SUM(F3:F65)</f>
        <v>926.1</v>
      </c>
      <c r="G66" s="112">
        <f>G65</f>
        <v>0</v>
      </c>
      <c r="H66" s="112">
        <f>H65</f>
        <v>0</v>
      </c>
      <c r="I66" s="21"/>
    </row>
    <row r="67" spans="1:11" ht="42" customHeight="1">
      <c r="A67" s="51" t="s">
        <v>301</v>
      </c>
      <c r="B67" s="51"/>
      <c r="C67" s="51"/>
      <c r="D67" s="51"/>
      <c r="E67" s="51"/>
      <c r="F67" s="14"/>
      <c r="G67" s="14"/>
      <c r="H67" s="14"/>
    </row>
    <row r="68" spans="1:11" s="22" customFormat="1" ht="25.5">
      <c r="A68" s="41" t="s">
        <v>1</v>
      </c>
      <c r="B68" s="41" t="s">
        <v>2</v>
      </c>
      <c r="C68" s="41" t="s">
        <v>3</v>
      </c>
      <c r="D68" s="41" t="s">
        <v>4</v>
      </c>
      <c r="E68" s="41" t="s">
        <v>5</v>
      </c>
      <c r="F68" s="41" t="s">
        <v>15</v>
      </c>
      <c r="G68" s="41" t="s">
        <v>3</v>
      </c>
      <c r="H68" s="41" t="s">
        <v>17</v>
      </c>
      <c r="I68" s="98"/>
    </row>
    <row r="69" spans="1:11" s="22" customFormat="1" ht="25.5" customHeight="1">
      <c r="A69" s="14">
        <f>A65+1</f>
        <v>64</v>
      </c>
      <c r="B69" s="14" t="s">
        <v>19</v>
      </c>
      <c r="C69" s="14" t="s">
        <v>20</v>
      </c>
      <c r="D69" s="15">
        <v>2</v>
      </c>
      <c r="E69" s="14" t="s">
        <v>236</v>
      </c>
      <c r="F69" s="99">
        <f>686+686*0.35</f>
        <v>926.1</v>
      </c>
      <c r="G69" s="100" t="s">
        <v>302</v>
      </c>
      <c r="H69" s="100" t="s">
        <v>302</v>
      </c>
      <c r="I69" s="21"/>
    </row>
    <row r="70" spans="1:11" ht="25.5" customHeight="1">
      <c r="A70" s="14">
        <f t="shared" ref="A70:A130" si="0">A69+1</f>
        <v>65</v>
      </c>
      <c r="B70" s="14" t="s">
        <v>25</v>
      </c>
      <c r="C70" s="14" t="s">
        <v>20</v>
      </c>
      <c r="D70" s="15">
        <v>2</v>
      </c>
      <c r="E70" s="14" t="s">
        <v>238</v>
      </c>
      <c r="F70" s="102"/>
      <c r="G70" s="103"/>
      <c r="H70" s="103"/>
      <c r="I70" s="21"/>
    </row>
    <row r="71" spans="1:11" ht="25.5" customHeight="1">
      <c r="A71" s="14">
        <f t="shared" si="0"/>
        <v>66</v>
      </c>
      <c r="B71" s="14" t="s">
        <v>27</v>
      </c>
      <c r="C71" s="14" t="s">
        <v>20</v>
      </c>
      <c r="D71" s="15">
        <v>2</v>
      </c>
      <c r="E71" s="14" t="s">
        <v>239</v>
      </c>
      <c r="F71" s="102"/>
      <c r="G71" s="103"/>
      <c r="H71" s="103"/>
      <c r="I71" s="21"/>
      <c r="K71" s="23"/>
    </row>
    <row r="72" spans="1:11" ht="25.5" customHeight="1">
      <c r="A72" s="14">
        <f t="shared" si="0"/>
        <v>67</v>
      </c>
      <c r="B72" s="14" t="s">
        <v>29</v>
      </c>
      <c r="C72" s="14" t="s">
        <v>20</v>
      </c>
      <c r="D72" s="15">
        <v>2</v>
      </c>
      <c r="E72" s="14" t="s">
        <v>240</v>
      </c>
      <c r="F72" s="102"/>
      <c r="G72" s="103"/>
      <c r="H72" s="103"/>
      <c r="I72" s="21"/>
      <c r="K72" s="23"/>
    </row>
    <row r="73" spans="1:11" ht="25.5" customHeight="1">
      <c r="A73" s="14">
        <f t="shared" si="0"/>
        <v>68</v>
      </c>
      <c r="B73" s="14" t="s">
        <v>31</v>
      </c>
      <c r="C73" s="14" t="s">
        <v>32</v>
      </c>
      <c r="D73" s="15">
        <v>1</v>
      </c>
      <c r="E73" s="14" t="s">
        <v>241</v>
      </c>
      <c r="F73" s="102"/>
      <c r="G73" s="103"/>
      <c r="H73" s="103"/>
      <c r="I73" s="21"/>
      <c r="K73" s="23"/>
    </row>
    <row r="74" spans="1:11" ht="25.5" customHeight="1">
      <c r="A74" s="14">
        <f t="shared" si="0"/>
        <v>69</v>
      </c>
      <c r="B74" s="14" t="s">
        <v>34</v>
      </c>
      <c r="C74" s="14" t="s">
        <v>20</v>
      </c>
      <c r="D74" s="15">
        <v>1.5</v>
      </c>
      <c r="E74" s="14" t="s">
        <v>242</v>
      </c>
      <c r="F74" s="102"/>
      <c r="G74" s="103"/>
      <c r="H74" s="103"/>
      <c r="I74" s="21"/>
      <c r="K74" s="23"/>
    </row>
    <row r="75" spans="1:11" ht="25.5" customHeight="1">
      <c r="A75" s="14">
        <f t="shared" si="0"/>
        <v>70</v>
      </c>
      <c r="B75" s="14" t="s">
        <v>36</v>
      </c>
      <c r="C75" s="14" t="s">
        <v>20</v>
      </c>
      <c r="D75" s="15">
        <v>1.5</v>
      </c>
      <c r="E75" s="14" t="s">
        <v>243</v>
      </c>
      <c r="F75" s="102"/>
      <c r="G75" s="103"/>
      <c r="H75" s="103"/>
      <c r="I75" s="21"/>
      <c r="K75" s="23"/>
    </row>
    <row r="76" spans="1:11" ht="25.5" customHeight="1">
      <c r="A76" s="14">
        <f t="shared" si="0"/>
        <v>71</v>
      </c>
      <c r="B76" s="14" t="s">
        <v>38</v>
      </c>
      <c r="C76" s="14" t="s">
        <v>20</v>
      </c>
      <c r="D76" s="15">
        <v>1.5</v>
      </c>
      <c r="E76" s="14" t="s">
        <v>244</v>
      </c>
      <c r="F76" s="102"/>
      <c r="G76" s="103"/>
      <c r="H76" s="103"/>
      <c r="I76" s="21"/>
    </row>
    <row r="77" spans="1:11" ht="25.5" customHeight="1">
      <c r="A77" s="14">
        <f t="shared" si="0"/>
        <v>72</v>
      </c>
      <c r="B77" s="14" t="s">
        <v>40</v>
      </c>
      <c r="C77" s="14" t="s">
        <v>20</v>
      </c>
      <c r="D77" s="15">
        <v>1.5</v>
      </c>
      <c r="E77" s="14" t="s">
        <v>245</v>
      </c>
      <c r="F77" s="102"/>
      <c r="G77" s="103"/>
      <c r="H77" s="103"/>
      <c r="I77" s="21"/>
    </row>
    <row r="78" spans="1:11" ht="25.5" customHeight="1">
      <c r="A78" s="14">
        <f t="shared" si="0"/>
        <v>73</v>
      </c>
      <c r="B78" s="14" t="s">
        <v>42</v>
      </c>
      <c r="C78" s="14" t="s">
        <v>20</v>
      </c>
      <c r="D78" s="15">
        <v>1.5</v>
      </c>
      <c r="E78" s="14" t="s">
        <v>246</v>
      </c>
      <c r="F78" s="102"/>
      <c r="G78" s="103"/>
      <c r="H78" s="103"/>
      <c r="I78" s="21"/>
    </row>
    <row r="79" spans="1:11" ht="25.5" customHeight="1">
      <c r="A79" s="14">
        <f t="shared" si="0"/>
        <v>74</v>
      </c>
      <c r="B79" s="14" t="s">
        <v>44</v>
      </c>
      <c r="C79" s="14" t="s">
        <v>20</v>
      </c>
      <c r="D79" s="15">
        <v>1.5</v>
      </c>
      <c r="E79" s="14" t="s">
        <v>247</v>
      </c>
      <c r="F79" s="102"/>
      <c r="G79" s="103"/>
      <c r="H79" s="103"/>
      <c r="I79" s="21"/>
    </row>
    <row r="80" spans="1:11" ht="25.5" customHeight="1">
      <c r="A80" s="14">
        <f t="shared" si="0"/>
        <v>75</v>
      </c>
      <c r="B80" s="14" t="s">
        <v>46</v>
      </c>
      <c r="C80" s="14" t="s">
        <v>20</v>
      </c>
      <c r="D80" s="15">
        <v>2</v>
      </c>
      <c r="E80" s="14" t="s">
        <v>248</v>
      </c>
      <c r="F80" s="102"/>
      <c r="G80" s="103"/>
      <c r="H80" s="103"/>
      <c r="I80" s="21"/>
    </row>
    <row r="81" spans="1:9" ht="25.5">
      <c r="A81" s="14">
        <f t="shared" si="0"/>
        <v>76</v>
      </c>
      <c r="B81" s="14" t="s">
        <v>48</v>
      </c>
      <c r="C81" s="14" t="s">
        <v>20</v>
      </c>
      <c r="D81" s="15">
        <v>1.5</v>
      </c>
      <c r="E81" s="14" t="s">
        <v>249</v>
      </c>
      <c r="F81" s="102"/>
      <c r="G81" s="103"/>
      <c r="H81" s="103"/>
      <c r="I81" s="21"/>
    </row>
    <row r="82" spans="1:9" ht="61.5" customHeight="1">
      <c r="A82" s="14">
        <f t="shared" si="0"/>
        <v>77</v>
      </c>
      <c r="B82" s="14" t="s">
        <v>50</v>
      </c>
      <c r="C82" s="14" t="s">
        <v>20</v>
      </c>
      <c r="D82" s="15">
        <v>1.5</v>
      </c>
      <c r="E82" s="14" t="s">
        <v>250</v>
      </c>
      <c r="F82" s="102"/>
      <c r="G82" s="103"/>
      <c r="H82" s="103"/>
    </row>
    <row r="83" spans="1:9" ht="25.5">
      <c r="A83" s="14">
        <f t="shared" si="0"/>
        <v>78</v>
      </c>
      <c r="B83" s="14" t="s">
        <v>52</v>
      </c>
      <c r="C83" s="14" t="s">
        <v>20</v>
      </c>
      <c r="D83" s="15">
        <v>1.5</v>
      </c>
      <c r="E83" s="14" t="s">
        <v>251</v>
      </c>
      <c r="F83" s="102"/>
      <c r="G83" s="103"/>
      <c r="H83" s="103"/>
      <c r="I83" s="22"/>
    </row>
    <row r="84" spans="1:9" ht="51" customHeight="1">
      <c r="A84" s="14">
        <f t="shared" si="0"/>
        <v>79</v>
      </c>
      <c r="B84" s="14" t="s">
        <v>54</v>
      </c>
      <c r="C84" s="14" t="s">
        <v>20</v>
      </c>
      <c r="D84" s="15">
        <v>1.5</v>
      </c>
      <c r="E84" s="14" t="s">
        <v>252</v>
      </c>
      <c r="F84" s="102"/>
      <c r="G84" s="103"/>
      <c r="H84" s="103"/>
      <c r="I84" s="21"/>
    </row>
    <row r="85" spans="1:9" ht="51" customHeight="1">
      <c r="A85" s="14">
        <f t="shared" si="0"/>
        <v>80</v>
      </c>
      <c r="B85" s="14" t="s">
        <v>56</v>
      </c>
      <c r="C85" s="14" t="s">
        <v>20</v>
      </c>
      <c r="D85" s="15">
        <v>1.5</v>
      </c>
      <c r="E85" s="14" t="s">
        <v>253</v>
      </c>
      <c r="F85" s="102"/>
      <c r="G85" s="103"/>
      <c r="H85" s="103"/>
      <c r="I85" s="21"/>
    </row>
    <row r="86" spans="1:9" ht="51" customHeight="1">
      <c r="A86" s="14">
        <f t="shared" si="0"/>
        <v>81</v>
      </c>
      <c r="B86" s="14" t="s">
        <v>58</v>
      </c>
      <c r="C86" s="14" t="s">
        <v>20</v>
      </c>
      <c r="D86" s="15">
        <v>1.5</v>
      </c>
      <c r="E86" s="14" t="s">
        <v>254</v>
      </c>
      <c r="F86" s="102"/>
      <c r="G86" s="103"/>
      <c r="H86" s="103"/>
      <c r="I86" s="21"/>
    </row>
    <row r="87" spans="1:9" ht="51" customHeight="1">
      <c r="A87" s="14">
        <f t="shared" si="0"/>
        <v>82</v>
      </c>
      <c r="B87" s="14" t="s">
        <v>60</v>
      </c>
      <c r="C87" s="14" t="s">
        <v>20</v>
      </c>
      <c r="D87" s="15">
        <v>4</v>
      </c>
      <c r="E87" s="14" t="s">
        <v>255</v>
      </c>
      <c r="F87" s="102"/>
      <c r="G87" s="103"/>
      <c r="H87" s="103"/>
      <c r="I87" s="21"/>
    </row>
    <row r="88" spans="1:9" ht="51" customHeight="1">
      <c r="A88" s="14">
        <f t="shared" si="0"/>
        <v>83</v>
      </c>
      <c r="B88" s="14" t="s">
        <v>62</v>
      </c>
      <c r="C88" s="14" t="s">
        <v>20</v>
      </c>
      <c r="D88" s="15">
        <v>4</v>
      </c>
      <c r="E88" s="14" t="s">
        <v>256</v>
      </c>
      <c r="F88" s="102"/>
      <c r="G88" s="103"/>
      <c r="H88" s="103"/>
      <c r="I88" s="21"/>
    </row>
    <row r="89" spans="1:9" ht="51" customHeight="1">
      <c r="A89" s="14">
        <f t="shared" si="0"/>
        <v>84</v>
      </c>
      <c r="B89" s="14" t="s">
        <v>64</v>
      </c>
      <c r="C89" s="14" t="s">
        <v>20</v>
      </c>
      <c r="D89" s="15">
        <v>4</v>
      </c>
      <c r="E89" s="14" t="s">
        <v>257</v>
      </c>
      <c r="F89" s="102"/>
      <c r="G89" s="103"/>
      <c r="H89" s="103"/>
      <c r="I89" s="21"/>
    </row>
    <row r="90" spans="1:9" ht="51" customHeight="1">
      <c r="A90" s="14">
        <f t="shared" si="0"/>
        <v>85</v>
      </c>
      <c r="B90" s="14" t="s">
        <v>66</v>
      </c>
      <c r="C90" s="14" t="s">
        <v>20</v>
      </c>
      <c r="D90" s="15">
        <v>4</v>
      </c>
      <c r="E90" s="14" t="s">
        <v>258</v>
      </c>
      <c r="F90" s="102"/>
      <c r="G90" s="103"/>
      <c r="H90" s="103"/>
      <c r="I90" s="21"/>
    </row>
    <row r="91" spans="1:9" ht="51" customHeight="1">
      <c r="A91" s="14">
        <f t="shared" si="0"/>
        <v>86</v>
      </c>
      <c r="B91" s="14" t="s">
        <v>68</v>
      </c>
      <c r="C91" s="14" t="s">
        <v>20</v>
      </c>
      <c r="D91" s="15">
        <v>4</v>
      </c>
      <c r="E91" s="14" t="s">
        <v>259</v>
      </c>
      <c r="F91" s="102"/>
      <c r="G91" s="103"/>
      <c r="H91" s="103"/>
      <c r="I91" s="21"/>
    </row>
    <row r="92" spans="1:9" ht="51" customHeight="1">
      <c r="A92" s="14">
        <f t="shared" si="0"/>
        <v>87</v>
      </c>
      <c r="B92" s="14" t="s">
        <v>70</v>
      </c>
      <c r="C92" s="14" t="s">
        <v>20</v>
      </c>
      <c r="D92" s="15">
        <v>4</v>
      </c>
      <c r="E92" s="14" t="s">
        <v>260</v>
      </c>
      <c r="F92" s="102"/>
      <c r="G92" s="103"/>
      <c r="H92" s="103"/>
      <c r="I92" s="21"/>
    </row>
    <row r="93" spans="1:9" ht="31.5" customHeight="1">
      <c r="A93" s="14">
        <f t="shared" si="0"/>
        <v>88</v>
      </c>
      <c r="B93" s="14" t="s">
        <v>72</v>
      </c>
      <c r="C93" s="14" t="s">
        <v>20</v>
      </c>
      <c r="D93" s="15">
        <v>4</v>
      </c>
      <c r="E93" s="14" t="s">
        <v>261</v>
      </c>
      <c r="F93" s="102"/>
      <c r="G93" s="103"/>
      <c r="H93" s="103"/>
    </row>
    <row r="94" spans="1:9" ht="31.5" customHeight="1">
      <c r="A94" s="14">
        <f t="shared" si="0"/>
        <v>89</v>
      </c>
      <c r="B94" s="14" t="s">
        <v>74</v>
      </c>
      <c r="C94" s="14" t="s">
        <v>20</v>
      </c>
      <c r="D94" s="15">
        <v>4</v>
      </c>
      <c r="E94" s="14" t="s">
        <v>262</v>
      </c>
      <c r="F94" s="102"/>
      <c r="G94" s="103"/>
      <c r="H94" s="103"/>
    </row>
    <row r="95" spans="1:9" ht="61.5" customHeight="1">
      <c r="A95" s="14">
        <f t="shared" si="0"/>
        <v>90</v>
      </c>
      <c r="B95" s="14" t="s">
        <v>76</v>
      </c>
      <c r="C95" s="14" t="s">
        <v>20</v>
      </c>
      <c r="D95" s="15">
        <v>4</v>
      </c>
      <c r="E95" s="14" t="s">
        <v>263</v>
      </c>
      <c r="F95" s="102"/>
      <c r="G95" s="103"/>
      <c r="H95" s="103"/>
    </row>
    <row r="96" spans="1:9" ht="54.75" customHeight="1">
      <c r="A96" s="14">
        <f t="shared" si="0"/>
        <v>91</v>
      </c>
      <c r="B96" s="14" t="s">
        <v>78</v>
      </c>
      <c r="C96" s="14" t="s">
        <v>20</v>
      </c>
      <c r="D96" s="15">
        <v>4</v>
      </c>
      <c r="E96" s="14" t="s">
        <v>264</v>
      </c>
      <c r="F96" s="102"/>
      <c r="G96" s="103"/>
      <c r="H96" s="103"/>
      <c r="I96" s="22"/>
    </row>
    <row r="97" spans="1:9" ht="51" customHeight="1">
      <c r="A97" s="14">
        <f t="shared" si="0"/>
        <v>92</v>
      </c>
      <c r="B97" s="14" t="s">
        <v>80</v>
      </c>
      <c r="C97" s="14" t="s">
        <v>20</v>
      </c>
      <c r="D97" s="15">
        <v>4</v>
      </c>
      <c r="E97" s="14" t="s">
        <v>265</v>
      </c>
      <c r="F97" s="102"/>
      <c r="G97" s="103"/>
      <c r="H97" s="103"/>
      <c r="I97" s="21"/>
    </row>
    <row r="98" spans="1:9" ht="51" customHeight="1">
      <c r="A98" s="14">
        <f t="shared" si="0"/>
        <v>93</v>
      </c>
      <c r="B98" s="14" t="s">
        <v>82</v>
      </c>
      <c r="C98" s="14" t="s">
        <v>20</v>
      </c>
      <c r="D98" s="15">
        <v>2</v>
      </c>
      <c r="E98" s="14" t="s">
        <v>266</v>
      </c>
      <c r="F98" s="102"/>
      <c r="G98" s="103"/>
      <c r="H98" s="103"/>
      <c r="I98" s="21"/>
    </row>
    <row r="99" spans="1:9" ht="51" customHeight="1">
      <c r="A99" s="14">
        <f t="shared" si="0"/>
        <v>94</v>
      </c>
      <c r="B99" s="14" t="s">
        <v>84</v>
      </c>
      <c r="C99" s="14" t="s">
        <v>20</v>
      </c>
      <c r="D99" s="15">
        <v>2</v>
      </c>
      <c r="E99" s="14" t="s">
        <v>267</v>
      </c>
      <c r="F99" s="102"/>
      <c r="G99" s="103"/>
      <c r="H99" s="103"/>
      <c r="I99" s="21"/>
    </row>
    <row r="100" spans="1:9" ht="31.5" customHeight="1">
      <c r="A100" s="14">
        <f t="shared" si="0"/>
        <v>95</v>
      </c>
      <c r="B100" s="14" t="s">
        <v>86</v>
      </c>
      <c r="C100" s="14" t="s">
        <v>20</v>
      </c>
      <c r="D100" s="15">
        <v>2</v>
      </c>
      <c r="E100" s="14" t="s">
        <v>268</v>
      </c>
      <c r="F100" s="102"/>
      <c r="G100" s="103"/>
      <c r="H100" s="103"/>
    </row>
    <row r="101" spans="1:9" ht="31.5" customHeight="1">
      <c r="A101" s="14">
        <f t="shared" si="0"/>
        <v>96</v>
      </c>
      <c r="B101" s="14" t="s">
        <v>88</v>
      </c>
      <c r="C101" s="14" t="s">
        <v>20</v>
      </c>
      <c r="D101" s="15">
        <v>2</v>
      </c>
      <c r="E101" s="14" t="s">
        <v>269</v>
      </c>
      <c r="F101" s="102"/>
      <c r="G101" s="103"/>
      <c r="H101" s="103"/>
    </row>
    <row r="102" spans="1:9" ht="25.5">
      <c r="A102" s="14">
        <f t="shared" si="0"/>
        <v>97</v>
      </c>
      <c r="B102" s="14" t="s">
        <v>90</v>
      </c>
      <c r="C102" s="14" t="s">
        <v>91</v>
      </c>
      <c r="D102" s="15">
        <v>1</v>
      </c>
      <c r="E102" s="14" t="s">
        <v>270</v>
      </c>
      <c r="F102" s="102"/>
      <c r="G102" s="103"/>
      <c r="H102" s="103"/>
    </row>
    <row r="103" spans="1:9" ht="61.5" customHeight="1">
      <c r="A103" s="14">
        <f t="shared" si="0"/>
        <v>98</v>
      </c>
      <c r="B103" s="14" t="s">
        <v>93</v>
      </c>
      <c r="C103" s="14" t="s">
        <v>20</v>
      </c>
      <c r="D103" s="15">
        <v>1</v>
      </c>
      <c r="E103" s="14" t="s">
        <v>271</v>
      </c>
      <c r="F103" s="102"/>
      <c r="G103" s="103"/>
      <c r="H103" s="103"/>
    </row>
    <row r="104" spans="1:9" ht="54.95" customHeight="1">
      <c r="A104" s="14">
        <f t="shared" si="0"/>
        <v>99</v>
      </c>
      <c r="B104" s="14" t="s">
        <v>95</v>
      </c>
      <c r="C104" s="14" t="s">
        <v>20</v>
      </c>
      <c r="D104" s="15">
        <v>1.5</v>
      </c>
      <c r="E104" s="14" t="s">
        <v>272</v>
      </c>
      <c r="F104" s="102"/>
      <c r="G104" s="103"/>
      <c r="H104" s="103"/>
    </row>
    <row r="105" spans="1:9" ht="54.95" customHeight="1">
      <c r="A105" s="14">
        <f t="shared" si="0"/>
        <v>100</v>
      </c>
      <c r="B105" s="14" t="s">
        <v>97</v>
      </c>
      <c r="C105" s="14" t="s">
        <v>20</v>
      </c>
      <c r="D105" s="15">
        <v>2</v>
      </c>
      <c r="E105" s="14" t="s">
        <v>273</v>
      </c>
      <c r="F105" s="102"/>
      <c r="G105" s="103"/>
      <c r="H105" s="103"/>
    </row>
    <row r="106" spans="1:9" ht="54.95" customHeight="1">
      <c r="A106" s="14">
        <f t="shared" si="0"/>
        <v>101</v>
      </c>
      <c r="B106" s="14" t="s">
        <v>99</v>
      </c>
      <c r="C106" s="14" t="s">
        <v>20</v>
      </c>
      <c r="D106" s="15">
        <v>1.5</v>
      </c>
      <c r="E106" s="14" t="s">
        <v>274</v>
      </c>
      <c r="F106" s="102"/>
      <c r="G106" s="103"/>
      <c r="H106" s="103"/>
    </row>
    <row r="107" spans="1:9" ht="54.95" customHeight="1">
      <c r="A107" s="14">
        <f t="shared" si="0"/>
        <v>102</v>
      </c>
      <c r="B107" s="14" t="s">
        <v>101</v>
      </c>
      <c r="C107" s="14" t="s">
        <v>20</v>
      </c>
      <c r="D107" s="15">
        <v>1.5</v>
      </c>
      <c r="E107" s="14" t="s">
        <v>275</v>
      </c>
      <c r="F107" s="102"/>
      <c r="G107" s="103"/>
      <c r="H107" s="103"/>
    </row>
    <row r="108" spans="1:9" ht="31.5" customHeight="1">
      <c r="A108" s="14">
        <f t="shared" si="0"/>
        <v>103</v>
      </c>
      <c r="B108" s="14" t="s">
        <v>103</v>
      </c>
      <c r="C108" s="14" t="s">
        <v>20</v>
      </c>
      <c r="D108" s="15">
        <v>1.5</v>
      </c>
      <c r="E108" s="14" t="s">
        <v>276</v>
      </c>
      <c r="F108" s="102"/>
      <c r="G108" s="103"/>
      <c r="H108" s="103"/>
      <c r="I108" s="23"/>
    </row>
    <row r="109" spans="1:9" ht="25.5">
      <c r="A109" s="14">
        <f t="shared" si="0"/>
        <v>104</v>
      </c>
      <c r="B109" s="14" t="s">
        <v>105</v>
      </c>
      <c r="C109" s="14" t="s">
        <v>20</v>
      </c>
      <c r="D109" s="15">
        <v>2</v>
      </c>
      <c r="E109" s="14" t="s">
        <v>277</v>
      </c>
      <c r="F109" s="102"/>
      <c r="G109" s="103"/>
      <c r="H109" s="103"/>
    </row>
    <row r="110" spans="1:9" ht="61.5" customHeight="1">
      <c r="A110" s="14">
        <f t="shared" si="0"/>
        <v>105</v>
      </c>
      <c r="B110" s="14" t="s">
        <v>107</v>
      </c>
      <c r="C110" s="14" t="s">
        <v>20</v>
      </c>
      <c r="D110" s="15">
        <v>2</v>
      </c>
      <c r="E110" s="14" t="s">
        <v>278</v>
      </c>
      <c r="F110" s="102"/>
      <c r="G110" s="103"/>
      <c r="H110" s="103"/>
    </row>
    <row r="111" spans="1:9" ht="36" customHeight="1">
      <c r="A111" s="14">
        <f t="shared" si="0"/>
        <v>106</v>
      </c>
      <c r="B111" s="14" t="s">
        <v>109</v>
      </c>
      <c r="C111" s="14" t="s">
        <v>20</v>
      </c>
      <c r="D111" s="15">
        <v>1</v>
      </c>
      <c r="E111" s="14" t="s">
        <v>279</v>
      </c>
      <c r="F111" s="102"/>
      <c r="G111" s="103"/>
      <c r="H111" s="103"/>
    </row>
    <row r="112" spans="1:9" ht="30" customHeight="1">
      <c r="A112" s="14">
        <f t="shared" si="0"/>
        <v>107</v>
      </c>
      <c r="B112" s="14" t="s">
        <v>111</v>
      </c>
      <c r="C112" s="14" t="s">
        <v>20</v>
      </c>
      <c r="D112" s="15">
        <v>1</v>
      </c>
      <c r="E112" s="14" t="s">
        <v>280</v>
      </c>
      <c r="F112" s="102"/>
      <c r="G112" s="103"/>
      <c r="H112" s="103"/>
    </row>
    <row r="113" spans="1:9" ht="30" customHeight="1">
      <c r="A113" s="14">
        <f t="shared" si="0"/>
        <v>108</v>
      </c>
      <c r="B113" s="14" t="s">
        <v>113</v>
      </c>
      <c r="C113" s="14" t="s">
        <v>20</v>
      </c>
      <c r="D113" s="15">
        <v>1</v>
      </c>
      <c r="E113" s="14" t="s">
        <v>281</v>
      </c>
      <c r="F113" s="102"/>
      <c r="G113" s="103"/>
      <c r="H113" s="103"/>
    </row>
    <row r="114" spans="1:9" ht="30" customHeight="1">
      <c r="A114" s="14">
        <f t="shared" si="0"/>
        <v>109</v>
      </c>
      <c r="B114" s="14" t="s">
        <v>115</v>
      </c>
      <c r="C114" s="14" t="s">
        <v>20</v>
      </c>
      <c r="D114" s="15">
        <v>2</v>
      </c>
      <c r="E114" s="14" t="s">
        <v>282</v>
      </c>
      <c r="F114" s="102"/>
      <c r="G114" s="103"/>
      <c r="H114" s="103"/>
    </row>
    <row r="115" spans="1:9" ht="30" customHeight="1">
      <c r="A115" s="14">
        <f t="shared" si="0"/>
        <v>110</v>
      </c>
      <c r="B115" s="14" t="s">
        <v>117</v>
      </c>
      <c r="C115" s="14" t="s">
        <v>20</v>
      </c>
      <c r="D115" s="15">
        <v>1</v>
      </c>
      <c r="E115" s="14" t="s">
        <v>283</v>
      </c>
      <c r="F115" s="102"/>
      <c r="G115" s="103"/>
      <c r="H115" s="103"/>
    </row>
    <row r="116" spans="1:9" ht="30" customHeight="1">
      <c r="A116" s="14">
        <f t="shared" si="0"/>
        <v>111</v>
      </c>
      <c r="B116" s="14" t="s">
        <v>119</v>
      </c>
      <c r="C116" s="14" t="s">
        <v>20</v>
      </c>
      <c r="D116" s="15">
        <v>1</v>
      </c>
      <c r="E116" s="14" t="s">
        <v>284</v>
      </c>
      <c r="F116" s="102"/>
      <c r="G116" s="103"/>
      <c r="H116" s="103"/>
    </row>
    <row r="117" spans="1:9" ht="30" customHeight="1">
      <c r="A117" s="14">
        <f t="shared" si="0"/>
        <v>112</v>
      </c>
      <c r="B117" s="14" t="s">
        <v>121</v>
      </c>
      <c r="C117" s="14" t="s">
        <v>20</v>
      </c>
      <c r="D117" s="15">
        <v>1</v>
      </c>
      <c r="E117" s="14" t="s">
        <v>285</v>
      </c>
      <c r="F117" s="102"/>
      <c r="G117" s="103"/>
      <c r="H117" s="103"/>
    </row>
    <row r="118" spans="1:9" ht="30" customHeight="1">
      <c r="A118" s="14">
        <f t="shared" si="0"/>
        <v>113</v>
      </c>
      <c r="B118" s="14" t="s">
        <v>123</v>
      </c>
      <c r="C118" s="14" t="s">
        <v>20</v>
      </c>
      <c r="D118" s="15">
        <v>1.5</v>
      </c>
      <c r="E118" s="14" t="s">
        <v>286</v>
      </c>
      <c r="F118" s="102"/>
      <c r="G118" s="103"/>
      <c r="H118" s="103"/>
    </row>
    <row r="119" spans="1:9" ht="30" customHeight="1">
      <c r="A119" s="14">
        <f t="shared" si="0"/>
        <v>114</v>
      </c>
      <c r="B119" s="14" t="s">
        <v>125</v>
      </c>
      <c r="C119" s="14" t="s">
        <v>20</v>
      </c>
      <c r="D119" s="15">
        <v>1.5</v>
      </c>
      <c r="E119" s="14" t="s">
        <v>287</v>
      </c>
      <c r="F119" s="102"/>
      <c r="G119" s="103"/>
      <c r="H119" s="103"/>
      <c r="I119" s="113"/>
    </row>
    <row r="120" spans="1:9" ht="30" customHeight="1">
      <c r="A120" s="14">
        <f t="shared" si="0"/>
        <v>115</v>
      </c>
      <c r="B120" s="14" t="s">
        <v>127</v>
      </c>
      <c r="C120" s="14" t="s">
        <v>20</v>
      </c>
      <c r="D120" s="15">
        <v>1.5</v>
      </c>
      <c r="E120" s="14" t="s">
        <v>288</v>
      </c>
      <c r="F120" s="102"/>
      <c r="G120" s="103"/>
      <c r="H120" s="103"/>
    </row>
    <row r="121" spans="1:9" ht="30" customHeight="1">
      <c r="A121" s="14">
        <f t="shared" si="0"/>
        <v>116</v>
      </c>
      <c r="B121" s="14" t="s">
        <v>129</v>
      </c>
      <c r="C121" s="14" t="s">
        <v>20</v>
      </c>
      <c r="D121" s="15">
        <v>1</v>
      </c>
      <c r="E121" s="14" t="s">
        <v>289</v>
      </c>
      <c r="F121" s="102"/>
      <c r="G121" s="103"/>
      <c r="H121" s="103"/>
    </row>
    <row r="122" spans="1:9" ht="30" customHeight="1">
      <c r="A122" s="14">
        <f t="shared" si="0"/>
        <v>117</v>
      </c>
      <c r="B122" s="14" t="s">
        <v>131</v>
      </c>
      <c r="C122" s="14" t="s">
        <v>20</v>
      </c>
      <c r="D122" s="15">
        <v>1</v>
      </c>
      <c r="E122" s="14" t="s">
        <v>290</v>
      </c>
      <c r="F122" s="102"/>
      <c r="G122" s="103"/>
      <c r="H122" s="103"/>
    </row>
    <row r="123" spans="1:9" ht="30" customHeight="1">
      <c r="A123" s="14">
        <f t="shared" si="0"/>
        <v>118</v>
      </c>
      <c r="B123" s="14" t="s">
        <v>133</v>
      </c>
      <c r="C123" s="14" t="s">
        <v>20</v>
      </c>
      <c r="D123" s="15">
        <v>1</v>
      </c>
      <c r="E123" s="14" t="s">
        <v>291</v>
      </c>
      <c r="F123" s="102"/>
      <c r="G123" s="103"/>
      <c r="H123" s="103"/>
    </row>
    <row r="124" spans="1:9" ht="30" customHeight="1">
      <c r="A124" s="14">
        <f t="shared" si="0"/>
        <v>119</v>
      </c>
      <c r="B124" s="14" t="s">
        <v>135</v>
      </c>
      <c r="C124" s="14" t="s">
        <v>20</v>
      </c>
      <c r="D124" s="15">
        <v>1</v>
      </c>
      <c r="E124" s="14" t="s">
        <v>292</v>
      </c>
      <c r="F124" s="102"/>
      <c r="G124" s="103"/>
      <c r="H124" s="103"/>
    </row>
    <row r="125" spans="1:9" ht="30" customHeight="1">
      <c r="A125" s="14">
        <f t="shared" si="0"/>
        <v>120</v>
      </c>
      <c r="B125" s="14" t="s">
        <v>137</v>
      </c>
      <c r="C125" s="14" t="s">
        <v>20</v>
      </c>
      <c r="D125" s="15">
        <v>1.5</v>
      </c>
      <c r="E125" s="14" t="s">
        <v>293</v>
      </c>
      <c r="F125" s="102"/>
      <c r="G125" s="103"/>
      <c r="H125" s="103"/>
    </row>
    <row r="126" spans="1:9" ht="30" customHeight="1">
      <c r="A126" s="14">
        <f t="shared" si="0"/>
        <v>121</v>
      </c>
      <c r="B126" s="14" t="s">
        <v>139</v>
      </c>
      <c r="C126" s="14" t="s">
        <v>140</v>
      </c>
      <c r="D126" s="14" t="s">
        <v>141</v>
      </c>
      <c r="E126" s="14" t="s">
        <v>294</v>
      </c>
      <c r="F126" s="102"/>
      <c r="G126" s="103"/>
      <c r="H126" s="103"/>
    </row>
    <row r="127" spans="1:9" ht="30" customHeight="1">
      <c r="A127" s="14">
        <f t="shared" si="0"/>
        <v>122</v>
      </c>
      <c r="B127" s="14" t="s">
        <v>144</v>
      </c>
      <c r="C127" s="14" t="s">
        <v>145</v>
      </c>
      <c r="D127" s="14" t="s">
        <v>146</v>
      </c>
      <c r="E127" s="14" t="s">
        <v>295</v>
      </c>
      <c r="F127" s="102"/>
      <c r="G127" s="103"/>
      <c r="H127" s="103"/>
    </row>
    <row r="128" spans="1:9" ht="30" customHeight="1">
      <c r="A128" s="14">
        <f t="shared" si="0"/>
        <v>123</v>
      </c>
      <c r="B128" s="14" t="s">
        <v>148</v>
      </c>
      <c r="C128" s="14" t="s">
        <v>149</v>
      </c>
      <c r="D128" s="14" t="s">
        <v>150</v>
      </c>
      <c r="E128" s="14" t="s">
        <v>296</v>
      </c>
      <c r="F128" s="102"/>
      <c r="G128" s="103"/>
      <c r="H128" s="103"/>
    </row>
    <row r="129" spans="1:8" ht="30" customHeight="1">
      <c r="A129" s="14">
        <f t="shared" si="0"/>
        <v>124</v>
      </c>
      <c r="B129" s="14" t="s">
        <v>152</v>
      </c>
      <c r="C129" s="14" t="s">
        <v>153</v>
      </c>
      <c r="D129" s="14" t="s">
        <v>154</v>
      </c>
      <c r="E129" s="14" t="s">
        <v>297</v>
      </c>
      <c r="F129" s="102"/>
      <c r="G129" s="103"/>
      <c r="H129" s="103"/>
    </row>
    <row r="130" spans="1:8" ht="30" customHeight="1">
      <c r="A130" s="14">
        <f t="shared" si="0"/>
        <v>125</v>
      </c>
      <c r="B130" s="14" t="s">
        <v>156</v>
      </c>
      <c r="C130" s="14" t="s">
        <v>156</v>
      </c>
      <c r="D130" s="14" t="s">
        <v>157</v>
      </c>
      <c r="E130" s="14" t="s">
        <v>298</v>
      </c>
      <c r="F130" s="102"/>
      <c r="G130" s="103"/>
      <c r="H130" s="103"/>
    </row>
    <row r="131" spans="1:8" ht="30" customHeight="1">
      <c r="A131" s="14">
        <f>A130+1</f>
        <v>126</v>
      </c>
      <c r="B131" s="14" t="s">
        <v>159</v>
      </c>
      <c r="C131" s="14" t="s">
        <v>159</v>
      </c>
      <c r="D131" s="14" t="s">
        <v>160</v>
      </c>
      <c r="E131" s="14" t="s">
        <v>299</v>
      </c>
      <c r="F131" s="105"/>
      <c r="G131" s="106"/>
      <c r="H131" s="106"/>
    </row>
    <row r="132" spans="1:8" s="22" customFormat="1" ht="30" customHeight="1">
      <c r="A132" s="108" t="s">
        <v>300</v>
      </c>
      <c r="B132" s="109"/>
      <c r="C132" s="109"/>
      <c r="D132" s="109"/>
      <c r="E132" s="110"/>
      <c r="F132" s="111">
        <f>SUM(F69:F131)</f>
        <v>926.1</v>
      </c>
      <c r="G132" s="112" t="s">
        <v>302</v>
      </c>
      <c r="H132" s="112" t="s">
        <v>302</v>
      </c>
    </row>
    <row r="134" spans="1:8" s="22" customFormat="1" ht="26.25" customHeight="1">
      <c r="A134" s="48" t="s">
        <v>190</v>
      </c>
      <c r="B134" s="48"/>
      <c r="C134" s="48"/>
      <c r="D134" s="48"/>
      <c r="E134" s="48"/>
      <c r="F134" s="48"/>
      <c r="G134" s="48"/>
      <c r="H134" s="48"/>
    </row>
    <row r="135" spans="1:8">
      <c r="A135" s="41" t="s">
        <v>1</v>
      </c>
      <c r="B135" s="48" t="s">
        <v>194</v>
      </c>
      <c r="C135" s="48"/>
      <c r="D135" s="48"/>
      <c r="E135" s="41" t="s">
        <v>195</v>
      </c>
      <c r="F135" s="41" t="s">
        <v>196</v>
      </c>
      <c r="G135" s="41" t="s">
        <v>197</v>
      </c>
      <c r="H135" s="41" t="s">
        <v>202</v>
      </c>
    </row>
    <row r="136" spans="1:8" ht="27.75" customHeight="1">
      <c r="A136" s="51">
        <f>A131+1</f>
        <v>127</v>
      </c>
      <c r="B136" s="51" t="s">
        <v>303</v>
      </c>
      <c r="C136" s="51"/>
      <c r="D136" s="51" t="s">
        <v>304</v>
      </c>
      <c r="E136" s="14">
        <v>2</v>
      </c>
      <c r="F136" s="14">
        <v>1.5</v>
      </c>
      <c r="G136" s="114">
        <f>(E136*F136+E137*F137)/0.25</f>
        <v>22</v>
      </c>
      <c r="H136" s="115">
        <f>57*3</f>
        <v>171</v>
      </c>
    </row>
    <row r="137" spans="1:8" ht="27.75" customHeight="1">
      <c r="A137" s="51"/>
      <c r="B137" s="51"/>
      <c r="C137" s="51"/>
      <c r="D137" s="51"/>
      <c r="E137" s="14">
        <v>1</v>
      </c>
      <c r="F137" s="14">
        <v>2.5</v>
      </c>
      <c r="G137" s="116"/>
      <c r="H137" s="117"/>
    </row>
    <row r="138" spans="1:8" ht="27.75" customHeight="1">
      <c r="A138" s="51">
        <f>A136+1</f>
        <v>128</v>
      </c>
      <c r="B138" s="51" t="s">
        <v>305</v>
      </c>
      <c r="C138" s="51"/>
      <c r="D138" s="51" t="s">
        <v>304</v>
      </c>
      <c r="E138" s="14">
        <v>2</v>
      </c>
      <c r="F138" s="14">
        <v>1.5</v>
      </c>
      <c r="G138" s="114">
        <f>(E138*F138+E139*F139)/0.25</f>
        <v>22</v>
      </c>
      <c r="H138" s="115">
        <f>4*3</f>
        <v>12</v>
      </c>
    </row>
    <row r="139" spans="1:8" ht="27.75" customHeight="1">
      <c r="A139" s="51"/>
      <c r="B139" s="51"/>
      <c r="C139" s="51"/>
      <c r="D139" s="51"/>
      <c r="E139" s="14">
        <v>1</v>
      </c>
      <c r="F139" s="14">
        <v>2.5</v>
      </c>
      <c r="G139" s="116"/>
      <c r="H139" s="117"/>
    </row>
    <row r="140" spans="1:8" ht="27.75" customHeight="1">
      <c r="A140" s="51">
        <f>A138+1</f>
        <v>129</v>
      </c>
      <c r="B140" s="51" t="s">
        <v>306</v>
      </c>
      <c r="C140" s="51"/>
      <c r="D140" s="51" t="s">
        <v>304</v>
      </c>
      <c r="E140" s="14">
        <v>2</v>
      </c>
      <c r="F140" s="14">
        <v>1.5</v>
      </c>
      <c r="G140" s="114">
        <f>(E140*F140+E141*F141)/0.25</f>
        <v>22</v>
      </c>
      <c r="H140" s="115">
        <f>6*3</f>
        <v>18</v>
      </c>
    </row>
    <row r="141" spans="1:8" ht="27.75" customHeight="1">
      <c r="A141" s="51"/>
      <c r="B141" s="51"/>
      <c r="C141" s="51"/>
      <c r="D141" s="51"/>
      <c r="E141" s="14">
        <v>1</v>
      </c>
      <c r="F141" s="14">
        <v>2.5</v>
      </c>
      <c r="G141" s="116"/>
      <c r="H141" s="117"/>
    </row>
    <row r="142" spans="1:8" ht="27.75" customHeight="1">
      <c r="A142" s="51">
        <f>A140+1</f>
        <v>130</v>
      </c>
      <c r="B142" s="51" t="s">
        <v>307</v>
      </c>
      <c r="C142" s="51"/>
      <c r="D142" s="51" t="s">
        <v>308</v>
      </c>
      <c r="E142" s="14">
        <v>2</v>
      </c>
      <c r="F142" s="14">
        <v>1.5</v>
      </c>
      <c r="G142" s="114">
        <f>(E142*F142+E143*F143)/0.25</f>
        <v>22</v>
      </c>
      <c r="H142" s="115">
        <f>926-SUM(H136:H141)</f>
        <v>725</v>
      </c>
    </row>
    <row r="143" spans="1:8" ht="27.75" customHeight="1">
      <c r="A143" s="51"/>
      <c r="B143" s="51"/>
      <c r="C143" s="51"/>
      <c r="D143" s="51"/>
      <c r="E143" s="14">
        <v>1</v>
      </c>
      <c r="F143" s="14">
        <v>2.5</v>
      </c>
      <c r="G143" s="116"/>
      <c r="H143" s="117"/>
    </row>
    <row r="144" spans="1:8">
      <c r="A144" s="48" t="s">
        <v>309</v>
      </c>
      <c r="B144" s="48"/>
      <c r="C144" s="48"/>
      <c r="D144" s="48"/>
      <c r="E144" s="48"/>
      <c r="F144" s="48"/>
      <c r="G144" s="48"/>
      <c r="H144" s="48"/>
    </row>
    <row r="145" spans="1:8">
      <c r="A145" s="48"/>
      <c r="B145" s="48"/>
      <c r="C145" s="48"/>
      <c r="D145" s="48"/>
      <c r="E145" s="48"/>
      <c r="F145" s="48"/>
      <c r="G145" s="48"/>
      <c r="H145" s="48"/>
    </row>
    <row r="146" spans="1:8">
      <c r="A146" s="48"/>
      <c r="B146" s="48"/>
      <c r="C146" s="48"/>
      <c r="D146" s="48"/>
      <c r="E146" s="48"/>
      <c r="F146" s="48"/>
      <c r="G146" s="48"/>
      <c r="H146" s="48"/>
    </row>
  </sheetData>
  <mergeCells count="33">
    <mergeCell ref="A144:H146"/>
    <mergeCell ref="A140:A141"/>
    <mergeCell ref="B140:C141"/>
    <mergeCell ref="D140:D141"/>
    <mergeCell ref="G140:G141"/>
    <mergeCell ref="H140:H141"/>
    <mergeCell ref="A142:A143"/>
    <mergeCell ref="B142:C143"/>
    <mergeCell ref="D142:D143"/>
    <mergeCell ref="G142:G143"/>
    <mergeCell ref="H142:H143"/>
    <mergeCell ref="A136:A137"/>
    <mergeCell ref="B136:C137"/>
    <mergeCell ref="D136:D137"/>
    <mergeCell ref="G136:G137"/>
    <mergeCell ref="H136:H137"/>
    <mergeCell ref="A138:A139"/>
    <mergeCell ref="B138:C139"/>
    <mergeCell ref="D138:D139"/>
    <mergeCell ref="G138:G139"/>
    <mergeCell ref="H138:H139"/>
    <mergeCell ref="F69:F131"/>
    <mergeCell ref="G69:G131"/>
    <mergeCell ref="H69:H131"/>
    <mergeCell ref="A132:E132"/>
    <mergeCell ref="A134:H134"/>
    <mergeCell ref="B135:D135"/>
    <mergeCell ref="A1:E1"/>
    <mergeCell ref="F3:F65"/>
    <mergeCell ref="G3:G65"/>
    <mergeCell ref="H3:H65"/>
    <mergeCell ref="A66:E66"/>
    <mergeCell ref="A67:E67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FC788-1B7D-4D4A-B848-37B4700918F6}">
  <dimension ref="A1:E28"/>
  <sheetViews>
    <sheetView topLeftCell="A11" workbookViewId="0"/>
  </sheetViews>
  <sheetFormatPr defaultRowHeight="15"/>
  <cols>
    <col min="1" max="1" width="7.42578125" customWidth="1"/>
    <col min="2" max="2" width="12" customWidth="1"/>
    <col min="3" max="3" width="86.5703125" customWidth="1"/>
    <col min="4" max="4" width="15.5703125" style="143" customWidth="1"/>
    <col min="5" max="5" width="14.85546875" style="143" customWidth="1"/>
  </cols>
  <sheetData>
    <row r="1" spans="1:5" ht="48.75" customHeight="1">
      <c r="A1" s="118" t="s">
        <v>1</v>
      </c>
      <c r="B1" s="118" t="s">
        <v>8</v>
      </c>
      <c r="C1" s="118" t="s">
        <v>5</v>
      </c>
      <c r="D1" s="118" t="s">
        <v>310</v>
      </c>
      <c r="E1" s="118" t="s">
        <v>216</v>
      </c>
    </row>
    <row r="2" spans="1:5" ht="48.75" customHeight="1">
      <c r="A2" s="120">
        <v>1</v>
      </c>
      <c r="B2" s="120" t="s">
        <v>175</v>
      </c>
      <c r="C2" s="140" t="s">
        <v>311</v>
      </c>
      <c r="D2" s="120" t="s">
        <v>310</v>
      </c>
      <c r="E2" s="120">
        <v>11</v>
      </c>
    </row>
    <row r="3" spans="1:5" ht="48.75" customHeight="1">
      <c r="A3" s="120">
        <v>2</v>
      </c>
      <c r="B3" s="120" t="s">
        <v>175</v>
      </c>
      <c r="C3" s="140" t="s">
        <v>312</v>
      </c>
      <c r="D3" s="120" t="s">
        <v>310</v>
      </c>
      <c r="E3" s="120">
        <v>11</v>
      </c>
    </row>
    <row r="4" spans="1:5" ht="48.75" customHeight="1">
      <c r="A4" s="120">
        <v>3</v>
      </c>
      <c r="B4" s="120" t="s">
        <v>175</v>
      </c>
      <c r="C4" s="140" t="s">
        <v>313</v>
      </c>
      <c r="D4" s="120" t="s">
        <v>310</v>
      </c>
      <c r="E4" s="120">
        <v>46</v>
      </c>
    </row>
    <row r="5" spans="1:5" ht="48.75" customHeight="1">
      <c r="A5" s="120">
        <v>4</v>
      </c>
      <c r="B5" s="120" t="s">
        <v>175</v>
      </c>
      <c r="C5" s="140" t="s">
        <v>314</v>
      </c>
      <c r="D5" s="120" t="s">
        <v>310</v>
      </c>
      <c r="E5" s="120">
        <v>46</v>
      </c>
    </row>
    <row r="6" spans="1:5" ht="47.25" customHeight="1">
      <c r="A6" s="120">
        <v>5</v>
      </c>
      <c r="B6" s="120" t="s">
        <v>175</v>
      </c>
      <c r="C6" s="141" t="s">
        <v>315</v>
      </c>
      <c r="D6" s="142" t="s">
        <v>310</v>
      </c>
      <c r="E6" s="142">
        <v>6</v>
      </c>
    </row>
    <row r="7" spans="1:5" ht="47.25" customHeight="1">
      <c r="A7" s="120">
        <v>6</v>
      </c>
      <c r="B7" s="120" t="s">
        <v>175</v>
      </c>
      <c r="C7" s="141" t="s">
        <v>316</v>
      </c>
      <c r="D7" s="142" t="s">
        <v>310</v>
      </c>
      <c r="E7" s="142">
        <v>64</v>
      </c>
    </row>
    <row r="8" spans="1:5" ht="47.25" customHeight="1">
      <c r="A8" s="120">
        <v>7</v>
      </c>
      <c r="B8" s="120" t="s">
        <v>175</v>
      </c>
      <c r="C8" s="141" t="s">
        <v>317</v>
      </c>
      <c r="D8" s="142" t="s">
        <v>310</v>
      </c>
      <c r="E8" s="142">
        <v>10</v>
      </c>
    </row>
    <row r="9" spans="1:5" ht="47.25" customHeight="1">
      <c r="A9" s="120">
        <v>8</v>
      </c>
      <c r="B9" s="120" t="s">
        <v>175</v>
      </c>
      <c r="C9" s="141" t="s">
        <v>318</v>
      </c>
      <c r="D9" s="142" t="s">
        <v>310</v>
      </c>
      <c r="E9" s="142">
        <v>30</v>
      </c>
    </row>
    <row r="10" spans="1:5" ht="47.25" customHeight="1">
      <c r="A10" s="120">
        <v>9</v>
      </c>
      <c r="B10" s="120" t="s">
        <v>175</v>
      </c>
      <c r="C10" s="141" t="s">
        <v>319</v>
      </c>
      <c r="D10" s="142" t="s">
        <v>310</v>
      </c>
      <c r="E10" s="142">
        <v>9</v>
      </c>
    </row>
    <row r="11" spans="1:5" ht="47.25" customHeight="1">
      <c r="A11" s="120">
        <v>10</v>
      </c>
      <c r="B11" s="120" t="s">
        <v>175</v>
      </c>
      <c r="C11" s="141" t="s">
        <v>320</v>
      </c>
      <c r="D11" s="142" t="s">
        <v>310</v>
      </c>
      <c r="E11" s="142">
        <v>4</v>
      </c>
    </row>
    <row r="12" spans="1:5" ht="47.25" customHeight="1">
      <c r="A12" s="120">
        <v>11</v>
      </c>
      <c r="B12" s="120" t="s">
        <v>175</v>
      </c>
      <c r="C12" s="141" t="s">
        <v>321</v>
      </c>
      <c r="D12" s="142" t="s">
        <v>322</v>
      </c>
      <c r="E12" s="142">
        <v>97.4</v>
      </c>
    </row>
    <row r="13" spans="1:5" ht="47.25" customHeight="1">
      <c r="A13" s="120">
        <v>12</v>
      </c>
      <c r="B13" s="120" t="s">
        <v>175</v>
      </c>
      <c r="C13" s="141" t="s">
        <v>323</v>
      </c>
      <c r="D13" s="142" t="s">
        <v>324</v>
      </c>
      <c r="E13" s="142">
        <v>94</v>
      </c>
    </row>
    <row r="14" spans="1:5" ht="47.25" customHeight="1">
      <c r="A14" s="120">
        <v>13</v>
      </c>
      <c r="B14" s="120" t="s">
        <v>175</v>
      </c>
      <c r="C14" s="141" t="s">
        <v>325</v>
      </c>
      <c r="D14" s="142" t="s">
        <v>322</v>
      </c>
      <c r="E14" s="142">
        <v>7.3</v>
      </c>
    </row>
    <row r="15" spans="1:5" ht="47.25" customHeight="1">
      <c r="A15" s="120">
        <v>14</v>
      </c>
      <c r="B15" s="120" t="s">
        <v>175</v>
      </c>
      <c r="C15" s="141" t="s">
        <v>326</v>
      </c>
      <c r="D15" s="142" t="s">
        <v>324</v>
      </c>
      <c r="E15" s="142">
        <v>129.19999999999999</v>
      </c>
    </row>
    <row r="16" spans="1:5" ht="47.25" customHeight="1">
      <c r="A16" s="120">
        <v>15</v>
      </c>
      <c r="B16" s="120" t="s">
        <v>175</v>
      </c>
      <c r="C16" s="141" t="s">
        <v>327</v>
      </c>
      <c r="D16" s="142" t="s">
        <v>324</v>
      </c>
      <c r="E16" s="142">
        <v>89</v>
      </c>
    </row>
    <row r="17" spans="1:5" ht="47.25" customHeight="1">
      <c r="A17" s="120">
        <v>16</v>
      </c>
      <c r="B17" s="120" t="s">
        <v>175</v>
      </c>
      <c r="C17" s="141" t="s">
        <v>328</v>
      </c>
      <c r="D17" s="142" t="s">
        <v>324</v>
      </c>
      <c r="E17" s="142">
        <v>33.700000000000003</v>
      </c>
    </row>
    <row r="18" spans="1:5" ht="47.25" customHeight="1">
      <c r="A18" s="120">
        <v>17</v>
      </c>
      <c r="B18" s="120" t="s">
        <v>175</v>
      </c>
      <c r="C18" s="141" t="s">
        <v>329</v>
      </c>
      <c r="D18" s="142" t="s">
        <v>324</v>
      </c>
      <c r="E18" s="142">
        <v>35.700000000000003</v>
      </c>
    </row>
    <row r="19" spans="1:5" ht="47.25" customHeight="1">
      <c r="A19" s="120">
        <v>18</v>
      </c>
      <c r="B19" s="120" t="s">
        <v>175</v>
      </c>
      <c r="C19" s="141" t="s">
        <v>330</v>
      </c>
      <c r="D19" s="142" t="s">
        <v>324</v>
      </c>
      <c r="E19" s="142">
        <v>44</v>
      </c>
    </row>
    <row r="20" spans="1:5" ht="47.25" customHeight="1">
      <c r="A20" s="120">
        <v>19</v>
      </c>
      <c r="B20" s="120" t="s">
        <v>175</v>
      </c>
      <c r="C20" s="141" t="s">
        <v>331</v>
      </c>
      <c r="D20" s="142" t="s">
        <v>322</v>
      </c>
      <c r="E20" s="142">
        <v>13.6</v>
      </c>
    </row>
    <row r="21" spans="1:5" ht="47.25" customHeight="1">
      <c r="A21" s="120">
        <v>20</v>
      </c>
      <c r="B21" s="120" t="s">
        <v>175</v>
      </c>
      <c r="C21" s="141" t="s">
        <v>332</v>
      </c>
      <c r="D21" s="142" t="s">
        <v>324</v>
      </c>
      <c r="E21" s="142">
        <v>9.3000000000000007</v>
      </c>
    </row>
    <row r="22" spans="1:5" ht="47.25" customHeight="1">
      <c r="A22" s="120">
        <v>21</v>
      </c>
      <c r="B22" s="120" t="s">
        <v>175</v>
      </c>
      <c r="C22" s="141" t="s">
        <v>333</v>
      </c>
      <c r="D22" s="142" t="s">
        <v>324</v>
      </c>
      <c r="E22" s="142">
        <v>22.2</v>
      </c>
    </row>
    <row r="23" spans="1:5" ht="47.25" customHeight="1">
      <c r="A23" s="120">
        <v>22</v>
      </c>
      <c r="B23" s="120" t="s">
        <v>175</v>
      </c>
      <c r="C23" s="141" t="s">
        <v>334</v>
      </c>
      <c r="D23" s="142" t="s">
        <v>310</v>
      </c>
      <c r="E23" s="142">
        <v>4</v>
      </c>
    </row>
    <row r="24" spans="1:5" ht="47.25" customHeight="1">
      <c r="A24" s="120">
        <v>23</v>
      </c>
      <c r="B24" s="120" t="s">
        <v>175</v>
      </c>
      <c r="C24" s="141" t="s">
        <v>335</v>
      </c>
      <c r="D24" s="142" t="s">
        <v>310</v>
      </c>
      <c r="E24" s="142">
        <v>11</v>
      </c>
    </row>
    <row r="25" spans="1:5" ht="47.25" customHeight="1">
      <c r="A25" s="120">
        <v>24</v>
      </c>
      <c r="B25" s="120" t="s">
        <v>175</v>
      </c>
      <c r="C25" s="141" t="s">
        <v>336</v>
      </c>
      <c r="D25" s="142" t="s">
        <v>310</v>
      </c>
      <c r="E25" s="142">
        <v>2</v>
      </c>
    </row>
    <row r="26" spans="1:5" ht="47.25" customHeight="1">
      <c r="A26" s="120">
        <v>25</v>
      </c>
      <c r="B26" s="120" t="s">
        <v>175</v>
      </c>
      <c r="C26" s="141" t="s">
        <v>337</v>
      </c>
      <c r="D26" s="142" t="s">
        <v>310</v>
      </c>
      <c r="E26" s="142">
        <v>11</v>
      </c>
    </row>
    <row r="27" spans="1:5" ht="47.25" customHeight="1">
      <c r="A27" s="120">
        <v>26</v>
      </c>
      <c r="B27" s="120" t="s">
        <v>175</v>
      </c>
      <c r="C27" s="141" t="s">
        <v>338</v>
      </c>
      <c r="D27" s="142" t="s">
        <v>310</v>
      </c>
      <c r="E27" s="142">
        <v>20</v>
      </c>
    </row>
    <row r="28" spans="1:5" ht="47.25" customHeight="1">
      <c r="A28" s="120">
        <v>27</v>
      </c>
      <c r="B28" s="120" t="s">
        <v>175</v>
      </c>
      <c r="C28" s="141" t="s">
        <v>339</v>
      </c>
      <c r="D28" s="142" t="s">
        <v>310</v>
      </c>
      <c r="E28" s="142">
        <v>13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FF1C-3B58-4AE2-9FF6-C46FF3235336}">
  <sheetPr>
    <pageSetUpPr fitToPage="1"/>
  </sheetPr>
  <dimension ref="A1:S102"/>
  <sheetViews>
    <sheetView zoomScale="130" zoomScaleNormal="130" workbookViewId="0"/>
  </sheetViews>
  <sheetFormatPr defaultRowHeight="12.75"/>
  <cols>
    <col min="1" max="1" width="6.28515625" style="7" customWidth="1"/>
    <col min="2" max="2" width="35.42578125" style="7" customWidth="1"/>
    <col min="3" max="4" width="13.140625" style="7" customWidth="1"/>
    <col min="5" max="5" width="24.85546875" style="7" customWidth="1"/>
    <col min="6" max="6" width="17.42578125" style="7" customWidth="1"/>
    <col min="7" max="7" width="13.140625" style="7" customWidth="1"/>
    <col min="8" max="8" width="15" style="7" customWidth="1"/>
    <col min="9" max="11" width="13.140625" style="7" customWidth="1"/>
    <col min="12" max="17" width="11.7109375" style="7" customWidth="1"/>
    <col min="18" max="18" width="9.140625" style="7"/>
    <col min="19" max="19" width="55.5703125" style="7" customWidth="1"/>
    <col min="20" max="16384" width="9.140625" style="7"/>
  </cols>
  <sheetData>
    <row r="1" spans="1:19" ht="42" customHeight="1">
      <c r="A1" s="129" t="s">
        <v>340</v>
      </c>
      <c r="B1" s="130"/>
      <c r="C1" s="130"/>
      <c r="D1" s="130"/>
      <c r="E1" s="130"/>
      <c r="F1" s="131"/>
      <c r="G1" s="4"/>
      <c r="H1" s="4"/>
      <c r="I1" s="4"/>
      <c r="J1" s="4"/>
      <c r="K1" s="4"/>
      <c r="L1" s="6"/>
      <c r="M1" s="6"/>
      <c r="N1" s="6"/>
      <c r="O1" s="6"/>
      <c r="P1" s="6"/>
      <c r="Q1" s="6"/>
    </row>
    <row r="2" spans="1:19" s="13" customFormat="1" ht="2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341</v>
      </c>
      <c r="G2" s="8" t="s">
        <v>342</v>
      </c>
      <c r="H2" s="8" t="s">
        <v>343</v>
      </c>
      <c r="I2" s="8" t="s">
        <v>344</v>
      </c>
      <c r="J2" s="132" t="s">
        <v>345</v>
      </c>
      <c r="K2" s="9" t="s">
        <v>346</v>
      </c>
      <c r="L2" s="12"/>
      <c r="M2" s="12"/>
      <c r="N2" s="12"/>
      <c r="O2" s="12"/>
      <c r="P2" s="12"/>
      <c r="Q2" s="12"/>
    </row>
    <row r="3" spans="1:19" s="22" customFormat="1" ht="25.5" customHeight="1">
      <c r="A3" s="14">
        <v>1</v>
      </c>
      <c r="B3" s="14" t="s">
        <v>19</v>
      </c>
      <c r="C3" s="14" t="s">
        <v>20</v>
      </c>
      <c r="D3" s="15">
        <v>2</v>
      </c>
      <c r="E3" s="14" t="s">
        <v>21</v>
      </c>
      <c r="F3" s="14">
        <f>680*D3</f>
        <v>1360</v>
      </c>
      <c r="G3" s="17">
        <f>F3*0.88/1000/60</f>
        <v>1.9946666666666665E-2</v>
      </c>
      <c r="H3" s="19">
        <f>G3*24*60</f>
        <v>28.723199999999995</v>
      </c>
      <c r="I3" s="15">
        <v>28.4</v>
      </c>
      <c r="J3" s="133">
        <v>6.3000000000000003E-4</v>
      </c>
      <c r="K3" s="16">
        <v>40</v>
      </c>
      <c r="L3" s="21"/>
      <c r="M3" s="21"/>
      <c r="N3" s="21"/>
      <c r="O3" s="134"/>
      <c r="P3" s="21"/>
      <c r="Q3" s="21"/>
    </row>
    <row r="4" spans="1:19" ht="25.5" customHeight="1">
      <c r="A4" s="14">
        <v>2</v>
      </c>
      <c r="B4" s="14" t="s">
        <v>25</v>
      </c>
      <c r="C4" s="14" t="s">
        <v>20</v>
      </c>
      <c r="D4" s="15">
        <v>2</v>
      </c>
      <c r="E4" s="14" t="s">
        <v>26</v>
      </c>
      <c r="F4" s="14">
        <f t="shared" ref="F4:F59" si="0">680*D4</f>
        <v>1360</v>
      </c>
      <c r="G4" s="17">
        <f t="shared" ref="G4:G59" si="1">F4*0.88/1000/60</f>
        <v>1.9946666666666665E-2</v>
      </c>
      <c r="H4" s="19">
        <f t="shared" ref="H4:H59" si="2">G4*24*60</f>
        <v>28.723199999999995</v>
      </c>
      <c r="I4" s="15">
        <v>0.72</v>
      </c>
      <c r="J4" s="133">
        <v>6.3000000000000003E-4</v>
      </c>
      <c r="K4" s="16">
        <v>40</v>
      </c>
      <c r="L4" s="21"/>
      <c r="M4" s="21"/>
      <c r="N4" s="21"/>
      <c r="O4" s="21"/>
      <c r="P4" s="21"/>
      <c r="Q4" s="21"/>
      <c r="S4" s="23"/>
    </row>
    <row r="5" spans="1:19" ht="25.5" customHeight="1">
      <c r="A5" s="14">
        <v>3</v>
      </c>
      <c r="B5" s="14" t="s">
        <v>27</v>
      </c>
      <c r="C5" s="14" t="s">
        <v>20</v>
      </c>
      <c r="D5" s="15">
        <v>2</v>
      </c>
      <c r="E5" s="14" t="s">
        <v>28</v>
      </c>
      <c r="F5" s="14">
        <f t="shared" si="0"/>
        <v>1360</v>
      </c>
      <c r="G5" s="17">
        <f t="shared" si="1"/>
        <v>1.9946666666666665E-2</v>
      </c>
      <c r="H5" s="19">
        <f t="shared" si="2"/>
        <v>28.723199999999995</v>
      </c>
      <c r="I5" s="15">
        <v>7.1</v>
      </c>
      <c r="J5" s="133">
        <v>6.3000000000000003E-4</v>
      </c>
      <c r="K5" s="16">
        <v>40</v>
      </c>
      <c r="L5" s="21"/>
      <c r="M5" s="21"/>
      <c r="N5" s="21"/>
      <c r="O5" s="21"/>
      <c r="P5" s="21"/>
      <c r="Q5" s="21"/>
      <c r="S5" s="23"/>
    </row>
    <row r="6" spans="1:19" ht="25.5" customHeight="1">
      <c r="A6" s="14">
        <v>4</v>
      </c>
      <c r="B6" s="14" t="s">
        <v>29</v>
      </c>
      <c r="C6" s="14" t="s">
        <v>20</v>
      </c>
      <c r="D6" s="15">
        <v>2</v>
      </c>
      <c r="E6" s="14" t="s">
        <v>30</v>
      </c>
      <c r="F6" s="14">
        <f t="shared" si="0"/>
        <v>1360</v>
      </c>
      <c r="G6" s="17">
        <f t="shared" si="1"/>
        <v>1.9946666666666665E-2</v>
      </c>
      <c r="H6" s="19">
        <f t="shared" si="2"/>
        <v>28.723199999999995</v>
      </c>
      <c r="I6" s="15">
        <v>2.13</v>
      </c>
      <c r="J6" s="133">
        <v>6.3000000000000003E-4</v>
      </c>
      <c r="K6" s="16">
        <v>40</v>
      </c>
      <c r="L6" s="21"/>
      <c r="M6" s="21"/>
      <c r="N6" s="21"/>
      <c r="O6" s="21"/>
      <c r="P6" s="21"/>
      <c r="Q6" s="21"/>
      <c r="S6" s="23"/>
    </row>
    <row r="7" spans="1:19" ht="25.5" customHeight="1">
      <c r="A7" s="14">
        <v>5</v>
      </c>
      <c r="B7" s="14" t="s">
        <v>31</v>
      </c>
      <c r="C7" s="14" t="s">
        <v>32</v>
      </c>
      <c r="D7" s="15">
        <v>1</v>
      </c>
      <c r="E7" s="14" t="s">
        <v>33</v>
      </c>
      <c r="F7" s="14">
        <f t="shared" si="0"/>
        <v>680</v>
      </c>
      <c r="G7" s="17">
        <f t="shared" si="1"/>
        <v>9.9733333333333323E-3</v>
      </c>
      <c r="H7" s="19">
        <f t="shared" si="2"/>
        <v>14.361599999999997</v>
      </c>
      <c r="I7" s="15">
        <v>5.05</v>
      </c>
      <c r="J7" s="133">
        <v>6.3000000000000003E-4</v>
      </c>
      <c r="K7" s="16">
        <v>40</v>
      </c>
      <c r="L7" s="21"/>
      <c r="M7" s="21"/>
      <c r="N7" s="21"/>
      <c r="O7" s="21"/>
      <c r="P7" s="21"/>
      <c r="Q7" s="21"/>
      <c r="S7" s="23"/>
    </row>
    <row r="8" spans="1:19" ht="25.5" customHeight="1">
      <c r="A8" s="14">
        <v>6</v>
      </c>
      <c r="B8" s="14" t="s">
        <v>34</v>
      </c>
      <c r="C8" s="14" t="s">
        <v>20</v>
      </c>
      <c r="D8" s="15">
        <v>1.5</v>
      </c>
      <c r="E8" s="14" t="s">
        <v>35</v>
      </c>
      <c r="F8" s="14">
        <f t="shared" si="0"/>
        <v>1020</v>
      </c>
      <c r="G8" s="17">
        <f t="shared" si="1"/>
        <v>1.4960000000000001E-2</v>
      </c>
      <c r="H8" s="19">
        <f t="shared" si="2"/>
        <v>21.542400000000001</v>
      </c>
      <c r="I8" s="15">
        <v>4.47</v>
      </c>
      <c r="J8" s="133">
        <v>6.3000000000000003E-4</v>
      </c>
      <c r="K8" s="16">
        <v>40</v>
      </c>
      <c r="L8" s="21"/>
      <c r="M8" s="21"/>
      <c r="N8" s="21"/>
      <c r="O8" s="21"/>
      <c r="P8" s="21"/>
      <c r="Q8" s="21"/>
      <c r="S8" s="23"/>
    </row>
    <row r="9" spans="1:19" ht="25.5" customHeight="1">
      <c r="A9" s="14">
        <v>7</v>
      </c>
      <c r="B9" s="14" t="s">
        <v>36</v>
      </c>
      <c r="C9" s="14" t="s">
        <v>20</v>
      </c>
      <c r="D9" s="15">
        <v>1.5</v>
      </c>
      <c r="E9" s="14" t="s">
        <v>37</v>
      </c>
      <c r="F9" s="14">
        <f t="shared" si="0"/>
        <v>1020</v>
      </c>
      <c r="G9" s="17">
        <f t="shared" si="1"/>
        <v>1.4960000000000001E-2</v>
      </c>
      <c r="H9" s="19">
        <f t="shared" si="2"/>
        <v>21.542400000000001</v>
      </c>
      <c r="I9" s="15">
        <v>39.25</v>
      </c>
      <c r="J9" s="133">
        <v>6.3000000000000003E-4</v>
      </c>
      <c r="K9" s="16">
        <v>40</v>
      </c>
      <c r="L9" s="21"/>
      <c r="M9" s="21"/>
      <c r="N9" s="21"/>
      <c r="O9" s="21"/>
      <c r="P9" s="21"/>
      <c r="Q9" s="21"/>
      <c r="S9" s="23"/>
    </row>
    <row r="10" spans="1:19" ht="25.5" customHeight="1">
      <c r="A10" s="14">
        <v>8</v>
      </c>
      <c r="B10" s="14" t="s">
        <v>38</v>
      </c>
      <c r="C10" s="14" t="s">
        <v>20</v>
      </c>
      <c r="D10" s="15">
        <v>1.5</v>
      </c>
      <c r="E10" s="14" t="s">
        <v>39</v>
      </c>
      <c r="F10" s="14">
        <f t="shared" si="0"/>
        <v>1020</v>
      </c>
      <c r="G10" s="17">
        <f t="shared" si="1"/>
        <v>1.4960000000000001E-2</v>
      </c>
      <c r="H10" s="19">
        <f t="shared" si="2"/>
        <v>21.542400000000001</v>
      </c>
      <c r="I10" s="15">
        <v>0.71</v>
      </c>
      <c r="J10" s="133">
        <v>6.3000000000000003E-4</v>
      </c>
      <c r="K10" s="16">
        <v>40</v>
      </c>
      <c r="L10" s="21"/>
      <c r="M10" s="21"/>
      <c r="N10" s="21"/>
      <c r="O10" s="21"/>
      <c r="P10" s="21"/>
      <c r="Q10" s="21"/>
    </row>
    <row r="11" spans="1:19" ht="25.5" customHeight="1">
      <c r="A11" s="14">
        <v>9</v>
      </c>
      <c r="B11" s="14" t="s">
        <v>40</v>
      </c>
      <c r="C11" s="14" t="s">
        <v>20</v>
      </c>
      <c r="D11" s="15">
        <v>1.5</v>
      </c>
      <c r="E11" s="14" t="s">
        <v>41</v>
      </c>
      <c r="F11" s="14">
        <f t="shared" si="0"/>
        <v>1020</v>
      </c>
      <c r="G11" s="17">
        <f t="shared" si="1"/>
        <v>1.4960000000000001E-2</v>
      </c>
      <c r="H11" s="19">
        <f t="shared" si="2"/>
        <v>21.542400000000001</v>
      </c>
      <c r="I11" s="15">
        <v>0.71</v>
      </c>
      <c r="J11" s="133">
        <v>6.3000000000000003E-4</v>
      </c>
      <c r="K11" s="16">
        <v>40</v>
      </c>
      <c r="L11" s="21"/>
      <c r="M11" s="21"/>
      <c r="N11" s="21"/>
      <c r="O11" s="21"/>
      <c r="P11" s="21"/>
      <c r="Q11" s="21"/>
    </row>
    <row r="12" spans="1:19" ht="25.5" customHeight="1">
      <c r="A12" s="14">
        <v>10</v>
      </c>
      <c r="B12" s="14" t="s">
        <v>42</v>
      </c>
      <c r="C12" s="14" t="s">
        <v>20</v>
      </c>
      <c r="D12" s="15">
        <v>1.5</v>
      </c>
      <c r="E12" s="14" t="s">
        <v>43</v>
      </c>
      <c r="F12" s="14">
        <f t="shared" si="0"/>
        <v>1020</v>
      </c>
      <c r="G12" s="17">
        <f t="shared" si="1"/>
        <v>1.4960000000000001E-2</v>
      </c>
      <c r="H12" s="19">
        <f t="shared" si="2"/>
        <v>21.542400000000001</v>
      </c>
      <c r="I12" s="15">
        <v>4.8099999999999996</v>
      </c>
      <c r="J12" s="133">
        <v>6.3000000000000003E-4</v>
      </c>
      <c r="K12" s="16">
        <v>40</v>
      </c>
      <c r="L12" s="21"/>
      <c r="M12" s="21"/>
      <c r="N12" s="21"/>
      <c r="O12" s="21"/>
      <c r="P12" s="21"/>
      <c r="Q12" s="21"/>
    </row>
    <row r="13" spans="1:19" ht="25.5" customHeight="1">
      <c r="A13" s="14">
        <v>11</v>
      </c>
      <c r="B13" s="14" t="s">
        <v>44</v>
      </c>
      <c r="C13" s="14" t="s">
        <v>20</v>
      </c>
      <c r="D13" s="15">
        <v>1.5</v>
      </c>
      <c r="E13" s="14" t="s">
        <v>45</v>
      </c>
      <c r="F13" s="14">
        <f t="shared" si="0"/>
        <v>1020</v>
      </c>
      <c r="G13" s="17">
        <f t="shared" si="1"/>
        <v>1.4960000000000001E-2</v>
      </c>
      <c r="H13" s="19">
        <f t="shared" si="2"/>
        <v>21.542400000000001</v>
      </c>
      <c r="I13" s="15">
        <v>5.53</v>
      </c>
      <c r="J13" s="133">
        <v>6.3000000000000003E-4</v>
      </c>
      <c r="K13" s="16">
        <v>40</v>
      </c>
      <c r="L13" s="21"/>
      <c r="M13" s="21"/>
      <c r="N13" s="21"/>
      <c r="O13" s="21"/>
      <c r="P13" s="21"/>
      <c r="Q13" s="21"/>
    </row>
    <row r="14" spans="1:19" ht="25.5" customHeight="1">
      <c r="A14" s="14">
        <v>12</v>
      </c>
      <c r="B14" s="14" t="s">
        <v>46</v>
      </c>
      <c r="C14" s="14" t="s">
        <v>20</v>
      </c>
      <c r="D14" s="15">
        <v>2</v>
      </c>
      <c r="E14" s="14" t="s">
        <v>47</v>
      </c>
      <c r="F14" s="14">
        <f t="shared" si="0"/>
        <v>1360</v>
      </c>
      <c r="G14" s="17">
        <f t="shared" si="1"/>
        <v>1.9946666666666665E-2</v>
      </c>
      <c r="H14" s="19">
        <f t="shared" si="2"/>
        <v>28.723199999999995</v>
      </c>
      <c r="I14" s="15">
        <v>2.94</v>
      </c>
      <c r="J14" s="133">
        <v>6.3000000000000003E-4</v>
      </c>
      <c r="K14" s="16">
        <v>40</v>
      </c>
      <c r="L14" s="21"/>
      <c r="M14" s="21"/>
      <c r="N14" s="21"/>
      <c r="O14" s="21"/>
      <c r="P14" s="21"/>
      <c r="Q14" s="21"/>
    </row>
    <row r="15" spans="1:19" ht="25.5" customHeight="1">
      <c r="A15" s="14">
        <v>13</v>
      </c>
      <c r="B15" s="14" t="s">
        <v>48</v>
      </c>
      <c r="C15" s="14" t="s">
        <v>20</v>
      </c>
      <c r="D15" s="15">
        <v>1.5</v>
      </c>
      <c r="E15" s="14" t="s">
        <v>49</v>
      </c>
      <c r="F15" s="14">
        <f t="shared" si="0"/>
        <v>1020</v>
      </c>
      <c r="G15" s="17">
        <f t="shared" si="1"/>
        <v>1.4960000000000001E-2</v>
      </c>
      <c r="H15" s="19">
        <f t="shared" si="2"/>
        <v>21.542400000000001</v>
      </c>
      <c r="I15" s="15">
        <v>27.78</v>
      </c>
      <c r="J15" s="133">
        <v>6.3000000000000003E-4</v>
      </c>
      <c r="K15" s="16">
        <v>40</v>
      </c>
      <c r="L15" s="21"/>
      <c r="M15" s="21"/>
      <c r="N15" s="21"/>
      <c r="O15" s="21"/>
      <c r="P15" s="21"/>
      <c r="Q15" s="21"/>
    </row>
    <row r="16" spans="1:19" ht="25.5" customHeight="1">
      <c r="A16" s="14">
        <v>14</v>
      </c>
      <c r="B16" s="14" t="s">
        <v>50</v>
      </c>
      <c r="C16" s="14" t="s">
        <v>20</v>
      </c>
      <c r="D16" s="15">
        <v>1.5</v>
      </c>
      <c r="E16" s="14" t="s">
        <v>51</v>
      </c>
      <c r="F16" s="14">
        <f t="shared" si="0"/>
        <v>1020</v>
      </c>
      <c r="G16" s="17">
        <f t="shared" si="1"/>
        <v>1.4960000000000001E-2</v>
      </c>
      <c r="H16" s="19">
        <f t="shared" si="2"/>
        <v>21.542400000000001</v>
      </c>
      <c r="I16" s="15">
        <v>5.42</v>
      </c>
      <c r="J16" s="133">
        <v>6.3000000000000003E-4</v>
      </c>
      <c r="K16" s="16">
        <v>40</v>
      </c>
      <c r="L16" s="21"/>
      <c r="M16" s="21"/>
      <c r="N16" s="21"/>
      <c r="O16" s="21"/>
      <c r="P16" s="21"/>
      <c r="Q16" s="21"/>
    </row>
    <row r="17" spans="1:17" ht="25.5" customHeight="1">
      <c r="A17" s="14">
        <v>15</v>
      </c>
      <c r="B17" s="14" t="s">
        <v>52</v>
      </c>
      <c r="C17" s="14" t="s">
        <v>20</v>
      </c>
      <c r="D17" s="15">
        <v>1.5</v>
      </c>
      <c r="E17" s="14" t="s">
        <v>53</v>
      </c>
      <c r="F17" s="14">
        <f t="shared" si="0"/>
        <v>1020</v>
      </c>
      <c r="G17" s="17">
        <f t="shared" si="1"/>
        <v>1.4960000000000001E-2</v>
      </c>
      <c r="H17" s="19">
        <f t="shared" si="2"/>
        <v>21.542400000000001</v>
      </c>
      <c r="I17" s="15">
        <v>0.76</v>
      </c>
      <c r="J17" s="133">
        <v>6.3000000000000003E-4</v>
      </c>
      <c r="K17" s="16">
        <v>40</v>
      </c>
      <c r="L17" s="21"/>
      <c r="M17" s="21"/>
      <c r="N17" s="21"/>
      <c r="O17" s="21"/>
      <c r="P17" s="21"/>
      <c r="Q17" s="21"/>
    </row>
    <row r="18" spans="1:17" ht="25.5" customHeight="1">
      <c r="A18" s="14">
        <v>16</v>
      </c>
      <c r="B18" s="14" t="s">
        <v>54</v>
      </c>
      <c r="C18" s="14" t="s">
        <v>20</v>
      </c>
      <c r="D18" s="15">
        <v>1.5</v>
      </c>
      <c r="E18" s="14" t="s">
        <v>55</v>
      </c>
      <c r="F18" s="14">
        <f t="shared" si="0"/>
        <v>1020</v>
      </c>
      <c r="G18" s="17">
        <f t="shared" si="1"/>
        <v>1.4960000000000001E-2</v>
      </c>
      <c r="H18" s="19">
        <f t="shared" si="2"/>
        <v>21.542400000000001</v>
      </c>
      <c r="I18" s="15">
        <v>0.76</v>
      </c>
      <c r="J18" s="133">
        <v>6.3000000000000003E-4</v>
      </c>
      <c r="K18" s="16">
        <v>40</v>
      </c>
      <c r="L18" s="21"/>
      <c r="M18" s="21"/>
      <c r="N18" s="21"/>
      <c r="O18" s="21"/>
      <c r="P18" s="21"/>
      <c r="Q18" s="21"/>
    </row>
    <row r="19" spans="1:17" ht="25.5" customHeight="1">
      <c r="A19" s="14">
        <v>17</v>
      </c>
      <c r="B19" s="14" t="s">
        <v>56</v>
      </c>
      <c r="C19" s="14" t="s">
        <v>20</v>
      </c>
      <c r="D19" s="15">
        <v>1.5</v>
      </c>
      <c r="E19" s="14" t="s">
        <v>57</v>
      </c>
      <c r="F19" s="14">
        <f t="shared" si="0"/>
        <v>1020</v>
      </c>
      <c r="G19" s="17">
        <f t="shared" si="1"/>
        <v>1.4960000000000001E-2</v>
      </c>
      <c r="H19" s="19">
        <f t="shared" si="2"/>
        <v>21.542400000000001</v>
      </c>
      <c r="I19" s="15">
        <v>0.15</v>
      </c>
      <c r="J19" s="133">
        <v>6.3000000000000003E-4</v>
      </c>
      <c r="K19" s="16">
        <v>40</v>
      </c>
      <c r="L19" s="21"/>
      <c r="M19" s="21"/>
      <c r="N19" s="21"/>
      <c r="O19" s="21"/>
      <c r="P19" s="21"/>
      <c r="Q19" s="21"/>
    </row>
    <row r="20" spans="1:17" ht="25.5" customHeight="1">
      <c r="A20" s="14">
        <v>18</v>
      </c>
      <c r="B20" s="14" t="s">
        <v>58</v>
      </c>
      <c r="C20" s="14" t="s">
        <v>20</v>
      </c>
      <c r="D20" s="15">
        <v>1.5</v>
      </c>
      <c r="E20" s="14" t="s">
        <v>59</v>
      </c>
      <c r="F20" s="14">
        <f t="shared" si="0"/>
        <v>1020</v>
      </c>
      <c r="G20" s="17">
        <f t="shared" si="1"/>
        <v>1.4960000000000001E-2</v>
      </c>
      <c r="H20" s="19">
        <f t="shared" si="2"/>
        <v>21.542400000000001</v>
      </c>
      <c r="I20" s="15">
        <v>0.15</v>
      </c>
      <c r="J20" s="133">
        <v>6.3000000000000003E-4</v>
      </c>
      <c r="K20" s="16">
        <v>40</v>
      </c>
      <c r="L20" s="21"/>
      <c r="M20" s="21"/>
      <c r="N20" s="21"/>
      <c r="O20" s="21"/>
      <c r="P20" s="21"/>
      <c r="Q20" s="21"/>
    </row>
    <row r="21" spans="1:17" ht="25.5" customHeight="1">
      <c r="A21" s="14">
        <v>19</v>
      </c>
      <c r="B21" s="14" t="s">
        <v>60</v>
      </c>
      <c r="C21" s="14" t="s">
        <v>20</v>
      </c>
      <c r="D21" s="15">
        <v>4</v>
      </c>
      <c r="E21" s="14" t="s">
        <v>61</v>
      </c>
      <c r="F21" s="14">
        <f t="shared" si="0"/>
        <v>2720</v>
      </c>
      <c r="G21" s="17">
        <f t="shared" si="1"/>
        <v>3.9893333333333329E-2</v>
      </c>
      <c r="H21" s="19">
        <f t="shared" si="2"/>
        <v>57.44639999999999</v>
      </c>
      <c r="I21" s="15">
        <v>0.72</v>
      </c>
      <c r="J21" s="133">
        <v>6.3000000000000003E-4</v>
      </c>
      <c r="K21" s="16">
        <v>40</v>
      </c>
      <c r="L21" s="21"/>
      <c r="M21" s="21"/>
      <c r="N21" s="21"/>
      <c r="O21" s="21"/>
      <c r="P21" s="21"/>
      <c r="Q21" s="21"/>
    </row>
    <row r="22" spans="1:17" ht="25.5" customHeight="1">
      <c r="A22" s="14">
        <v>20</v>
      </c>
      <c r="B22" s="14" t="s">
        <v>62</v>
      </c>
      <c r="C22" s="14" t="s">
        <v>20</v>
      </c>
      <c r="D22" s="15">
        <v>4</v>
      </c>
      <c r="E22" s="14" t="s">
        <v>63</v>
      </c>
      <c r="F22" s="14">
        <f t="shared" si="0"/>
        <v>2720</v>
      </c>
      <c r="G22" s="17">
        <f t="shared" si="1"/>
        <v>3.9893333333333329E-2</v>
      </c>
      <c r="H22" s="19">
        <f t="shared" si="2"/>
        <v>57.44639999999999</v>
      </c>
      <c r="I22" s="15">
        <v>0.72</v>
      </c>
      <c r="J22" s="133">
        <v>6.3000000000000003E-4</v>
      </c>
      <c r="K22" s="16">
        <v>40</v>
      </c>
      <c r="L22" s="21"/>
      <c r="M22" s="21"/>
      <c r="N22" s="21"/>
      <c r="O22" s="21"/>
      <c r="P22" s="21"/>
      <c r="Q22" s="21"/>
    </row>
    <row r="23" spans="1:17" ht="25.5" customHeight="1">
      <c r="A23" s="14">
        <v>21</v>
      </c>
      <c r="B23" s="14" t="s">
        <v>64</v>
      </c>
      <c r="C23" s="14" t="s">
        <v>20</v>
      </c>
      <c r="D23" s="15">
        <v>4</v>
      </c>
      <c r="E23" s="14" t="s">
        <v>65</v>
      </c>
      <c r="F23" s="14">
        <f t="shared" si="0"/>
        <v>2720</v>
      </c>
      <c r="G23" s="17">
        <f t="shared" si="1"/>
        <v>3.9893333333333329E-2</v>
      </c>
      <c r="H23" s="19">
        <f t="shared" si="2"/>
        <v>57.44639999999999</v>
      </c>
      <c r="I23" s="15">
        <v>2.13</v>
      </c>
      <c r="J23" s="133">
        <v>6.3000000000000003E-4</v>
      </c>
      <c r="K23" s="16">
        <v>40</v>
      </c>
      <c r="L23" s="21"/>
      <c r="M23" s="21"/>
      <c r="N23" s="21"/>
      <c r="O23" s="21"/>
      <c r="P23" s="21"/>
      <c r="Q23" s="21"/>
    </row>
    <row r="24" spans="1:17" ht="25.5" customHeight="1">
      <c r="A24" s="14">
        <v>22</v>
      </c>
      <c r="B24" s="14" t="s">
        <v>66</v>
      </c>
      <c r="C24" s="14" t="s">
        <v>20</v>
      </c>
      <c r="D24" s="15">
        <v>4</v>
      </c>
      <c r="E24" s="14" t="s">
        <v>67</v>
      </c>
      <c r="F24" s="14">
        <f t="shared" si="0"/>
        <v>2720</v>
      </c>
      <c r="G24" s="17">
        <f t="shared" si="1"/>
        <v>3.9893333333333329E-2</v>
      </c>
      <c r="H24" s="19">
        <f t="shared" si="2"/>
        <v>57.44639999999999</v>
      </c>
      <c r="I24" s="15">
        <v>2.13</v>
      </c>
      <c r="J24" s="133">
        <v>6.3000000000000003E-4</v>
      </c>
      <c r="K24" s="16">
        <v>40</v>
      </c>
      <c r="L24" s="21"/>
      <c r="M24" s="21"/>
      <c r="N24" s="21"/>
      <c r="O24" s="21"/>
      <c r="P24" s="21"/>
      <c r="Q24" s="21"/>
    </row>
    <row r="25" spans="1:17" ht="25.5" customHeight="1">
      <c r="A25" s="14">
        <v>23</v>
      </c>
      <c r="B25" s="14" t="s">
        <v>68</v>
      </c>
      <c r="C25" s="14" t="s">
        <v>20</v>
      </c>
      <c r="D25" s="15">
        <v>4</v>
      </c>
      <c r="E25" s="14" t="s">
        <v>69</v>
      </c>
      <c r="F25" s="14">
        <f t="shared" si="0"/>
        <v>2720</v>
      </c>
      <c r="G25" s="17">
        <f t="shared" si="1"/>
        <v>3.9893333333333329E-2</v>
      </c>
      <c r="H25" s="19">
        <f t="shared" si="2"/>
        <v>57.44639999999999</v>
      </c>
      <c r="I25" s="15">
        <v>0.68</v>
      </c>
      <c r="J25" s="133">
        <v>6.3000000000000003E-4</v>
      </c>
      <c r="K25" s="16">
        <v>40</v>
      </c>
      <c r="L25" s="21"/>
      <c r="M25" s="21"/>
      <c r="N25" s="21"/>
      <c r="O25" s="21"/>
      <c r="P25" s="21"/>
      <c r="Q25" s="21"/>
    </row>
    <row r="26" spans="1:17" ht="25.5" customHeight="1">
      <c r="A26" s="14">
        <v>24</v>
      </c>
      <c r="B26" s="14" t="s">
        <v>70</v>
      </c>
      <c r="C26" s="14" t="s">
        <v>20</v>
      </c>
      <c r="D26" s="15">
        <v>4</v>
      </c>
      <c r="E26" s="14" t="s">
        <v>71</v>
      </c>
      <c r="F26" s="14">
        <f t="shared" si="0"/>
        <v>2720</v>
      </c>
      <c r="G26" s="17">
        <f t="shared" si="1"/>
        <v>3.9893333333333329E-2</v>
      </c>
      <c r="H26" s="19">
        <f t="shared" si="2"/>
        <v>57.44639999999999</v>
      </c>
      <c r="I26" s="15">
        <v>0.68</v>
      </c>
      <c r="J26" s="133">
        <v>6.3000000000000003E-4</v>
      </c>
      <c r="K26" s="16">
        <v>40</v>
      </c>
      <c r="L26" s="21"/>
      <c r="M26" s="21"/>
      <c r="N26" s="21"/>
      <c r="O26" s="21"/>
      <c r="P26" s="21"/>
      <c r="Q26" s="21"/>
    </row>
    <row r="27" spans="1:17" ht="25.5" customHeight="1">
      <c r="A27" s="14">
        <v>25</v>
      </c>
      <c r="B27" s="14" t="s">
        <v>72</v>
      </c>
      <c r="C27" s="14" t="s">
        <v>20</v>
      </c>
      <c r="D27" s="15">
        <v>4</v>
      </c>
      <c r="E27" s="14" t="s">
        <v>73</v>
      </c>
      <c r="F27" s="14">
        <f t="shared" si="0"/>
        <v>2720</v>
      </c>
      <c r="G27" s="17">
        <f t="shared" si="1"/>
        <v>3.9893333333333329E-2</v>
      </c>
      <c r="H27" s="19">
        <f t="shared" si="2"/>
        <v>57.44639999999999</v>
      </c>
      <c r="I27" s="15">
        <v>3.5</v>
      </c>
      <c r="J27" s="133">
        <v>6.3000000000000003E-4</v>
      </c>
      <c r="K27" s="16">
        <v>40</v>
      </c>
      <c r="L27" s="21"/>
      <c r="M27" s="21"/>
      <c r="N27" s="21"/>
      <c r="O27" s="21"/>
      <c r="P27" s="21"/>
      <c r="Q27" s="21"/>
    </row>
    <row r="28" spans="1:17" ht="25.5" customHeight="1">
      <c r="A28" s="14">
        <v>26</v>
      </c>
      <c r="B28" s="14" t="s">
        <v>74</v>
      </c>
      <c r="C28" s="14" t="s">
        <v>20</v>
      </c>
      <c r="D28" s="15">
        <v>4</v>
      </c>
      <c r="E28" s="14" t="s">
        <v>75</v>
      </c>
      <c r="F28" s="14">
        <f t="shared" si="0"/>
        <v>2720</v>
      </c>
      <c r="G28" s="17">
        <f t="shared" si="1"/>
        <v>3.9893333333333329E-2</v>
      </c>
      <c r="H28" s="19">
        <f t="shared" si="2"/>
        <v>57.44639999999999</v>
      </c>
      <c r="I28" s="15">
        <v>3.5</v>
      </c>
      <c r="J28" s="133">
        <v>6.3000000000000003E-4</v>
      </c>
      <c r="K28" s="16">
        <v>40</v>
      </c>
      <c r="L28" s="21"/>
      <c r="M28" s="21"/>
      <c r="N28" s="21"/>
      <c r="O28" s="21"/>
      <c r="P28" s="21"/>
      <c r="Q28" s="21"/>
    </row>
    <row r="29" spans="1:17" ht="25.5" customHeight="1">
      <c r="A29" s="14">
        <v>27</v>
      </c>
      <c r="B29" s="14" t="s">
        <v>76</v>
      </c>
      <c r="C29" s="14" t="s">
        <v>20</v>
      </c>
      <c r="D29" s="15">
        <v>4</v>
      </c>
      <c r="E29" s="14" t="s">
        <v>77</v>
      </c>
      <c r="F29" s="14">
        <f t="shared" si="0"/>
        <v>2720</v>
      </c>
      <c r="G29" s="17">
        <f t="shared" si="1"/>
        <v>3.9893333333333329E-2</v>
      </c>
      <c r="H29" s="19">
        <f t="shared" si="2"/>
        <v>57.44639999999999</v>
      </c>
      <c r="I29" s="15">
        <v>0.68</v>
      </c>
      <c r="J29" s="133">
        <v>6.3000000000000003E-4</v>
      </c>
      <c r="K29" s="16">
        <v>40</v>
      </c>
      <c r="L29" s="21"/>
      <c r="M29" s="21"/>
      <c r="N29" s="21"/>
      <c r="O29" s="21"/>
      <c r="P29" s="21"/>
      <c r="Q29" s="21"/>
    </row>
    <row r="30" spans="1:17" ht="25.5" customHeight="1">
      <c r="A30" s="14">
        <v>28</v>
      </c>
      <c r="B30" s="14" t="s">
        <v>78</v>
      </c>
      <c r="C30" s="14" t="s">
        <v>20</v>
      </c>
      <c r="D30" s="15">
        <v>4</v>
      </c>
      <c r="E30" s="14" t="s">
        <v>79</v>
      </c>
      <c r="F30" s="14">
        <f t="shared" si="0"/>
        <v>2720</v>
      </c>
      <c r="G30" s="17">
        <f t="shared" si="1"/>
        <v>3.9893333333333329E-2</v>
      </c>
      <c r="H30" s="19">
        <f t="shared" si="2"/>
        <v>57.44639999999999</v>
      </c>
      <c r="I30" s="15">
        <v>0.68</v>
      </c>
      <c r="J30" s="133">
        <v>6.3000000000000003E-4</v>
      </c>
      <c r="K30" s="16">
        <v>40</v>
      </c>
      <c r="L30" s="21"/>
      <c r="M30" s="21"/>
      <c r="N30" s="21"/>
      <c r="O30" s="21"/>
      <c r="P30" s="21"/>
      <c r="Q30" s="21"/>
    </row>
    <row r="31" spans="1:17" ht="25.5" customHeight="1">
      <c r="A31" s="14">
        <v>29</v>
      </c>
      <c r="B31" s="14" t="s">
        <v>80</v>
      </c>
      <c r="C31" s="14" t="s">
        <v>20</v>
      </c>
      <c r="D31" s="15">
        <v>4</v>
      </c>
      <c r="E31" s="14" t="s">
        <v>81</v>
      </c>
      <c r="F31" s="14">
        <f t="shared" si="0"/>
        <v>2720</v>
      </c>
      <c r="G31" s="17">
        <f t="shared" si="1"/>
        <v>3.9893333333333329E-2</v>
      </c>
      <c r="H31" s="19">
        <f t="shared" si="2"/>
        <v>57.44639999999999</v>
      </c>
      <c r="I31" s="15">
        <v>0.68</v>
      </c>
      <c r="J31" s="133">
        <v>6.3000000000000003E-4</v>
      </c>
      <c r="K31" s="16">
        <v>40</v>
      </c>
      <c r="L31" s="21"/>
      <c r="M31" s="21"/>
      <c r="N31" s="21"/>
      <c r="O31" s="21"/>
      <c r="P31" s="21"/>
      <c r="Q31" s="21"/>
    </row>
    <row r="32" spans="1:17" ht="25.5" customHeight="1">
      <c r="A32" s="14">
        <v>30</v>
      </c>
      <c r="B32" s="14" t="s">
        <v>82</v>
      </c>
      <c r="C32" s="14" t="s">
        <v>20</v>
      </c>
      <c r="D32" s="15">
        <v>2</v>
      </c>
      <c r="E32" s="14" t="s">
        <v>83</v>
      </c>
      <c r="F32" s="14">
        <f t="shared" si="0"/>
        <v>1360</v>
      </c>
      <c r="G32" s="17">
        <f t="shared" si="1"/>
        <v>1.9946666666666665E-2</v>
      </c>
      <c r="H32" s="19">
        <f t="shared" si="2"/>
        <v>28.723199999999995</v>
      </c>
      <c r="I32" s="15">
        <v>22.64</v>
      </c>
      <c r="J32" s="133">
        <v>6.3000000000000003E-4</v>
      </c>
      <c r="K32" s="16">
        <v>40</v>
      </c>
      <c r="L32" s="21"/>
      <c r="M32" s="21"/>
      <c r="N32" s="21"/>
      <c r="O32" s="21"/>
      <c r="P32" s="21"/>
      <c r="Q32" s="21"/>
    </row>
    <row r="33" spans="1:17" ht="25.5" customHeight="1">
      <c r="A33" s="14">
        <v>31</v>
      </c>
      <c r="B33" s="14" t="s">
        <v>84</v>
      </c>
      <c r="C33" s="14" t="s">
        <v>20</v>
      </c>
      <c r="D33" s="15">
        <v>2</v>
      </c>
      <c r="E33" s="14" t="s">
        <v>85</v>
      </c>
      <c r="F33" s="14">
        <f t="shared" si="0"/>
        <v>1360</v>
      </c>
      <c r="G33" s="17">
        <f t="shared" si="1"/>
        <v>1.9946666666666665E-2</v>
      </c>
      <c r="H33" s="19">
        <f t="shared" si="2"/>
        <v>28.723199999999995</v>
      </c>
      <c r="I33" s="15">
        <v>3.5</v>
      </c>
      <c r="J33" s="133">
        <v>6.3000000000000003E-4</v>
      </c>
      <c r="K33" s="16">
        <v>40</v>
      </c>
      <c r="L33" s="21"/>
      <c r="M33" s="21"/>
      <c r="N33" s="21"/>
      <c r="O33" s="21"/>
      <c r="P33" s="21"/>
      <c r="Q33" s="21"/>
    </row>
    <row r="34" spans="1:17" ht="25.5" customHeight="1">
      <c r="A34" s="14">
        <v>32</v>
      </c>
      <c r="B34" s="14" t="s">
        <v>86</v>
      </c>
      <c r="C34" s="14" t="s">
        <v>20</v>
      </c>
      <c r="D34" s="15">
        <v>2</v>
      </c>
      <c r="E34" s="14" t="s">
        <v>87</v>
      </c>
      <c r="F34" s="14">
        <f t="shared" si="0"/>
        <v>1360</v>
      </c>
      <c r="G34" s="17">
        <f t="shared" si="1"/>
        <v>1.9946666666666665E-2</v>
      </c>
      <c r="H34" s="19">
        <f t="shared" si="2"/>
        <v>28.723199999999995</v>
      </c>
      <c r="I34" s="15">
        <v>0.72</v>
      </c>
      <c r="J34" s="133">
        <v>6.3000000000000003E-4</v>
      </c>
      <c r="K34" s="16">
        <v>40</v>
      </c>
      <c r="L34" s="21"/>
      <c r="M34" s="21"/>
      <c r="N34" s="21"/>
      <c r="O34" s="21"/>
      <c r="P34" s="21"/>
      <c r="Q34" s="21"/>
    </row>
    <row r="35" spans="1:17" ht="25.5" customHeight="1">
      <c r="A35" s="14">
        <v>33</v>
      </c>
      <c r="B35" s="14" t="s">
        <v>88</v>
      </c>
      <c r="C35" s="14" t="s">
        <v>20</v>
      </c>
      <c r="D35" s="15">
        <v>2</v>
      </c>
      <c r="E35" s="14" t="s">
        <v>89</v>
      </c>
      <c r="F35" s="14">
        <f t="shared" si="0"/>
        <v>1360</v>
      </c>
      <c r="G35" s="17">
        <f t="shared" si="1"/>
        <v>1.9946666666666665E-2</v>
      </c>
      <c r="H35" s="19">
        <f t="shared" si="2"/>
        <v>28.723199999999995</v>
      </c>
      <c r="I35" s="15">
        <v>2.13</v>
      </c>
      <c r="J35" s="133">
        <v>6.3000000000000003E-4</v>
      </c>
      <c r="K35" s="16">
        <v>40</v>
      </c>
      <c r="L35" s="21"/>
      <c r="M35" s="21"/>
      <c r="N35" s="21"/>
      <c r="O35" s="21"/>
      <c r="P35" s="21"/>
      <c r="Q35" s="21"/>
    </row>
    <row r="36" spans="1:17" ht="25.5" customHeight="1">
      <c r="A36" s="14">
        <v>34</v>
      </c>
      <c r="B36" s="14" t="s">
        <v>90</v>
      </c>
      <c r="C36" s="14" t="s">
        <v>91</v>
      </c>
      <c r="D36" s="15">
        <v>1</v>
      </c>
      <c r="E36" s="14" t="s">
        <v>92</v>
      </c>
      <c r="F36" s="14">
        <f t="shared" si="0"/>
        <v>680</v>
      </c>
      <c r="G36" s="17">
        <f t="shared" si="1"/>
        <v>9.9733333333333323E-3</v>
      </c>
      <c r="H36" s="19">
        <f t="shared" si="2"/>
        <v>14.361599999999997</v>
      </c>
      <c r="I36" s="15">
        <v>40.32</v>
      </c>
      <c r="J36" s="133">
        <v>6.3000000000000003E-4</v>
      </c>
      <c r="K36" s="16">
        <v>40</v>
      </c>
      <c r="L36" s="21"/>
      <c r="M36" s="21"/>
      <c r="N36" s="21"/>
      <c r="O36" s="21"/>
      <c r="P36" s="21"/>
      <c r="Q36" s="21"/>
    </row>
    <row r="37" spans="1:17" ht="25.5" customHeight="1">
      <c r="A37" s="14">
        <v>35</v>
      </c>
      <c r="B37" s="14" t="s">
        <v>93</v>
      </c>
      <c r="C37" s="14" t="s">
        <v>20</v>
      </c>
      <c r="D37" s="15">
        <v>1</v>
      </c>
      <c r="E37" s="14" t="s">
        <v>94</v>
      </c>
      <c r="F37" s="14">
        <f t="shared" si="0"/>
        <v>680</v>
      </c>
      <c r="G37" s="17">
        <f t="shared" si="1"/>
        <v>9.9733333333333323E-3</v>
      </c>
      <c r="H37" s="19">
        <f t="shared" si="2"/>
        <v>14.361599999999997</v>
      </c>
      <c r="I37" s="15">
        <v>0.6</v>
      </c>
      <c r="J37" s="133">
        <v>6.3000000000000003E-4</v>
      </c>
      <c r="K37" s="16">
        <v>40</v>
      </c>
      <c r="L37" s="21"/>
      <c r="M37" s="21"/>
      <c r="N37" s="21"/>
      <c r="O37" s="21"/>
      <c r="P37" s="21"/>
      <c r="Q37" s="21"/>
    </row>
    <row r="38" spans="1:17" ht="25.5" customHeight="1">
      <c r="A38" s="14">
        <v>36</v>
      </c>
      <c r="B38" s="14" t="s">
        <v>95</v>
      </c>
      <c r="C38" s="14" t="s">
        <v>20</v>
      </c>
      <c r="D38" s="15">
        <v>1.5</v>
      </c>
      <c r="E38" s="14" t="s">
        <v>96</v>
      </c>
      <c r="F38" s="14">
        <f t="shared" si="0"/>
        <v>1020</v>
      </c>
      <c r="G38" s="17">
        <f t="shared" si="1"/>
        <v>1.4960000000000001E-2</v>
      </c>
      <c r="H38" s="19">
        <f t="shared" si="2"/>
        <v>21.542400000000001</v>
      </c>
      <c r="I38" s="15">
        <v>4.46</v>
      </c>
      <c r="J38" s="133">
        <v>6.3000000000000003E-4</v>
      </c>
      <c r="K38" s="16">
        <v>40</v>
      </c>
      <c r="L38" s="21"/>
      <c r="M38" s="21"/>
      <c r="N38" s="21"/>
      <c r="O38" s="21"/>
      <c r="P38" s="21"/>
      <c r="Q38" s="21"/>
    </row>
    <row r="39" spans="1:17" ht="25.5" customHeight="1">
      <c r="A39" s="14">
        <v>37</v>
      </c>
      <c r="B39" s="14" t="s">
        <v>97</v>
      </c>
      <c r="C39" s="14" t="s">
        <v>20</v>
      </c>
      <c r="D39" s="15">
        <v>2</v>
      </c>
      <c r="E39" s="14" t="s">
        <v>98</v>
      </c>
      <c r="F39" s="14">
        <f t="shared" si="0"/>
        <v>1360</v>
      </c>
      <c r="G39" s="17">
        <f t="shared" si="1"/>
        <v>1.9946666666666665E-2</v>
      </c>
      <c r="H39" s="19">
        <f t="shared" si="2"/>
        <v>28.723199999999995</v>
      </c>
      <c r="I39" s="15">
        <v>0.72</v>
      </c>
      <c r="J39" s="133">
        <v>6.3000000000000003E-4</v>
      </c>
      <c r="K39" s="16">
        <v>40</v>
      </c>
      <c r="L39" s="21"/>
      <c r="M39" s="21"/>
      <c r="N39" s="21"/>
      <c r="O39" s="21"/>
      <c r="P39" s="21"/>
      <c r="Q39" s="21"/>
    </row>
    <row r="40" spans="1:17" ht="25.5" customHeight="1">
      <c r="A40" s="14">
        <v>38</v>
      </c>
      <c r="B40" s="14" t="s">
        <v>99</v>
      </c>
      <c r="C40" s="14" t="s">
        <v>20</v>
      </c>
      <c r="D40" s="15">
        <v>1.5</v>
      </c>
      <c r="E40" s="14" t="s">
        <v>100</v>
      </c>
      <c r="F40" s="14">
        <f t="shared" si="0"/>
        <v>1020</v>
      </c>
      <c r="G40" s="17">
        <f t="shared" si="1"/>
        <v>1.4960000000000001E-2</v>
      </c>
      <c r="H40" s="19">
        <f t="shared" si="2"/>
        <v>21.542400000000001</v>
      </c>
      <c r="I40" s="15">
        <v>0.72</v>
      </c>
      <c r="J40" s="133">
        <v>6.3000000000000003E-4</v>
      </c>
      <c r="K40" s="16">
        <v>40</v>
      </c>
      <c r="L40" s="21"/>
      <c r="M40" s="21"/>
      <c r="N40" s="21"/>
      <c r="O40" s="21"/>
      <c r="P40" s="21"/>
      <c r="Q40" s="21"/>
    </row>
    <row r="41" spans="1:17" ht="25.5" customHeight="1">
      <c r="A41" s="14">
        <v>39</v>
      </c>
      <c r="B41" s="14" t="s">
        <v>101</v>
      </c>
      <c r="C41" s="14" t="s">
        <v>20</v>
      </c>
      <c r="D41" s="15">
        <v>1.5</v>
      </c>
      <c r="E41" s="14" t="s">
        <v>102</v>
      </c>
      <c r="F41" s="14">
        <f t="shared" si="0"/>
        <v>1020</v>
      </c>
      <c r="G41" s="17">
        <f t="shared" si="1"/>
        <v>1.4960000000000001E-2</v>
      </c>
      <c r="H41" s="19">
        <f t="shared" si="2"/>
        <v>21.542400000000001</v>
      </c>
      <c r="I41" s="15">
        <v>11.22</v>
      </c>
      <c r="J41" s="133">
        <v>6.3000000000000003E-4</v>
      </c>
      <c r="K41" s="16">
        <v>40</v>
      </c>
      <c r="L41" s="21"/>
      <c r="M41" s="21"/>
      <c r="N41" s="21"/>
      <c r="O41" s="21"/>
      <c r="P41" s="21"/>
      <c r="Q41" s="21"/>
    </row>
    <row r="42" spans="1:17" ht="25.5" customHeight="1">
      <c r="A42" s="14">
        <v>40</v>
      </c>
      <c r="B42" s="14" t="s">
        <v>103</v>
      </c>
      <c r="C42" s="14" t="s">
        <v>20</v>
      </c>
      <c r="D42" s="15">
        <v>1.5</v>
      </c>
      <c r="E42" s="14" t="s">
        <v>104</v>
      </c>
      <c r="F42" s="14">
        <f t="shared" si="0"/>
        <v>1020</v>
      </c>
      <c r="G42" s="17">
        <f t="shared" si="1"/>
        <v>1.4960000000000001E-2</v>
      </c>
      <c r="H42" s="19">
        <f t="shared" si="2"/>
        <v>21.542400000000001</v>
      </c>
      <c r="I42" s="15">
        <v>9.6999999999999993</v>
      </c>
      <c r="J42" s="133">
        <v>6.3000000000000003E-4</v>
      </c>
      <c r="K42" s="16">
        <v>40</v>
      </c>
      <c r="L42" s="21"/>
      <c r="M42" s="21"/>
      <c r="N42" s="21"/>
      <c r="O42" s="21"/>
      <c r="P42" s="21"/>
      <c r="Q42" s="21"/>
    </row>
    <row r="43" spans="1:17" ht="25.5" customHeight="1">
      <c r="A43" s="14">
        <v>41</v>
      </c>
      <c r="B43" s="14" t="s">
        <v>105</v>
      </c>
      <c r="C43" s="14" t="s">
        <v>20</v>
      </c>
      <c r="D43" s="15">
        <v>2</v>
      </c>
      <c r="E43" s="14" t="s">
        <v>106</v>
      </c>
      <c r="F43" s="14">
        <f t="shared" si="0"/>
        <v>1360</v>
      </c>
      <c r="G43" s="17">
        <f t="shared" si="1"/>
        <v>1.9946666666666665E-2</v>
      </c>
      <c r="H43" s="19">
        <f t="shared" si="2"/>
        <v>28.723199999999995</v>
      </c>
      <c r="I43" s="15">
        <v>8.34</v>
      </c>
      <c r="J43" s="133">
        <v>6.3000000000000003E-4</v>
      </c>
      <c r="K43" s="16">
        <v>40</v>
      </c>
      <c r="L43" s="21"/>
      <c r="M43" s="21"/>
      <c r="N43" s="21"/>
      <c r="O43" s="21"/>
      <c r="P43" s="21"/>
      <c r="Q43" s="21"/>
    </row>
    <row r="44" spans="1:17" ht="25.5" customHeight="1">
      <c r="A44" s="14">
        <v>42</v>
      </c>
      <c r="B44" s="14" t="s">
        <v>107</v>
      </c>
      <c r="C44" s="14" t="s">
        <v>20</v>
      </c>
      <c r="D44" s="15">
        <v>2</v>
      </c>
      <c r="E44" s="14" t="s">
        <v>108</v>
      </c>
      <c r="F44" s="14">
        <f t="shared" si="0"/>
        <v>1360</v>
      </c>
      <c r="G44" s="17">
        <f t="shared" si="1"/>
        <v>1.9946666666666665E-2</v>
      </c>
      <c r="H44" s="19">
        <f t="shared" si="2"/>
        <v>28.723199999999995</v>
      </c>
      <c r="I44" s="15">
        <v>0.56000000000000005</v>
      </c>
      <c r="J44" s="133">
        <v>6.3000000000000003E-4</v>
      </c>
      <c r="K44" s="16">
        <v>40</v>
      </c>
      <c r="L44" s="21"/>
      <c r="M44" s="21"/>
      <c r="N44" s="21"/>
      <c r="O44" s="21"/>
      <c r="P44" s="21"/>
      <c r="Q44" s="21"/>
    </row>
    <row r="45" spans="1:17" ht="25.5" customHeight="1">
      <c r="A45" s="14">
        <v>43</v>
      </c>
      <c r="B45" s="14" t="s">
        <v>109</v>
      </c>
      <c r="C45" s="14" t="s">
        <v>20</v>
      </c>
      <c r="D45" s="15">
        <v>1</v>
      </c>
      <c r="E45" s="14" t="s">
        <v>110</v>
      </c>
      <c r="F45" s="14">
        <f t="shared" si="0"/>
        <v>680</v>
      </c>
      <c r="G45" s="17">
        <f t="shared" si="1"/>
        <v>9.9733333333333323E-3</v>
      </c>
      <c r="H45" s="19">
        <f t="shared" si="2"/>
        <v>14.361599999999997</v>
      </c>
      <c r="I45" s="15">
        <v>10.23</v>
      </c>
      <c r="J45" s="133">
        <v>6.3000000000000003E-4</v>
      </c>
      <c r="K45" s="16">
        <v>40</v>
      </c>
      <c r="L45" s="21"/>
      <c r="M45" s="21"/>
      <c r="N45" s="21"/>
      <c r="O45" s="21"/>
      <c r="P45" s="21"/>
      <c r="Q45" s="21"/>
    </row>
    <row r="46" spans="1:17" ht="25.5" customHeight="1">
      <c r="A46" s="14">
        <v>44</v>
      </c>
      <c r="B46" s="14" t="s">
        <v>111</v>
      </c>
      <c r="C46" s="14" t="s">
        <v>20</v>
      </c>
      <c r="D46" s="15">
        <v>1</v>
      </c>
      <c r="E46" s="14" t="s">
        <v>112</v>
      </c>
      <c r="F46" s="14">
        <f t="shared" si="0"/>
        <v>680</v>
      </c>
      <c r="G46" s="17">
        <f t="shared" si="1"/>
        <v>9.9733333333333323E-3</v>
      </c>
      <c r="H46" s="19">
        <f t="shared" si="2"/>
        <v>14.361599999999997</v>
      </c>
      <c r="I46" s="15">
        <v>2.35</v>
      </c>
      <c r="J46" s="133">
        <v>6.3000000000000003E-4</v>
      </c>
      <c r="K46" s="16">
        <v>40</v>
      </c>
      <c r="L46" s="21"/>
      <c r="M46" s="21"/>
      <c r="N46" s="21"/>
      <c r="O46" s="21"/>
      <c r="P46" s="21"/>
      <c r="Q46" s="21"/>
    </row>
    <row r="47" spans="1:17" ht="25.5" customHeight="1">
      <c r="A47" s="14">
        <v>45</v>
      </c>
      <c r="B47" s="14" t="s">
        <v>113</v>
      </c>
      <c r="C47" s="14" t="s">
        <v>20</v>
      </c>
      <c r="D47" s="15">
        <v>1</v>
      </c>
      <c r="E47" s="14" t="s">
        <v>114</v>
      </c>
      <c r="F47" s="14">
        <f t="shared" si="0"/>
        <v>680</v>
      </c>
      <c r="G47" s="17">
        <f t="shared" si="1"/>
        <v>9.9733333333333323E-3</v>
      </c>
      <c r="H47" s="19">
        <f t="shared" si="2"/>
        <v>14.361599999999997</v>
      </c>
      <c r="I47" s="15">
        <v>1.83</v>
      </c>
      <c r="J47" s="133">
        <v>6.3000000000000003E-4</v>
      </c>
      <c r="K47" s="16">
        <v>40</v>
      </c>
      <c r="L47" s="21"/>
      <c r="M47" s="21"/>
      <c r="N47" s="21"/>
      <c r="O47" s="21"/>
      <c r="P47" s="21"/>
      <c r="Q47" s="21"/>
    </row>
    <row r="48" spans="1:17" ht="25.5" customHeight="1">
      <c r="A48" s="14">
        <v>46</v>
      </c>
      <c r="B48" s="14" t="s">
        <v>115</v>
      </c>
      <c r="C48" s="14" t="s">
        <v>20</v>
      </c>
      <c r="D48" s="15">
        <v>2</v>
      </c>
      <c r="E48" s="14" t="s">
        <v>116</v>
      </c>
      <c r="F48" s="14">
        <f t="shared" si="0"/>
        <v>1360</v>
      </c>
      <c r="G48" s="17">
        <f t="shared" si="1"/>
        <v>1.9946666666666665E-2</v>
      </c>
      <c r="H48" s="19">
        <f t="shared" si="2"/>
        <v>28.723199999999995</v>
      </c>
      <c r="I48" s="15">
        <v>1.83</v>
      </c>
      <c r="J48" s="133">
        <v>6.3000000000000003E-4</v>
      </c>
      <c r="K48" s="16">
        <v>40</v>
      </c>
      <c r="L48" s="21"/>
      <c r="M48" s="21"/>
      <c r="N48" s="21"/>
      <c r="O48" s="21"/>
      <c r="P48" s="21"/>
      <c r="Q48" s="21"/>
    </row>
    <row r="49" spans="1:17" ht="25.5" customHeight="1">
      <c r="A49" s="14">
        <v>47</v>
      </c>
      <c r="B49" s="14" t="s">
        <v>117</v>
      </c>
      <c r="C49" s="14" t="s">
        <v>20</v>
      </c>
      <c r="D49" s="15">
        <v>1</v>
      </c>
      <c r="E49" s="14" t="s">
        <v>118</v>
      </c>
      <c r="F49" s="14">
        <f t="shared" si="0"/>
        <v>680</v>
      </c>
      <c r="G49" s="17">
        <f t="shared" si="1"/>
        <v>9.9733333333333323E-3</v>
      </c>
      <c r="H49" s="19">
        <f t="shared" si="2"/>
        <v>14.361599999999997</v>
      </c>
      <c r="I49" s="15">
        <v>10.46</v>
      </c>
      <c r="J49" s="133">
        <v>6.3000000000000003E-4</v>
      </c>
      <c r="K49" s="16">
        <v>40</v>
      </c>
      <c r="L49" s="21"/>
      <c r="M49" s="21"/>
      <c r="N49" s="21"/>
      <c r="O49" s="21"/>
      <c r="P49" s="21"/>
      <c r="Q49" s="21"/>
    </row>
    <row r="50" spans="1:17" ht="25.5" customHeight="1">
      <c r="A50" s="14">
        <v>48</v>
      </c>
      <c r="B50" s="14" t="s">
        <v>119</v>
      </c>
      <c r="C50" s="14" t="s">
        <v>20</v>
      </c>
      <c r="D50" s="15">
        <v>1</v>
      </c>
      <c r="E50" s="14" t="s">
        <v>120</v>
      </c>
      <c r="F50" s="14">
        <f t="shared" si="0"/>
        <v>680</v>
      </c>
      <c r="G50" s="17">
        <f t="shared" si="1"/>
        <v>9.9733333333333323E-3</v>
      </c>
      <c r="H50" s="19">
        <f t="shared" si="2"/>
        <v>14.361599999999997</v>
      </c>
      <c r="I50" s="15">
        <v>13.1</v>
      </c>
      <c r="J50" s="133">
        <v>6.3000000000000003E-4</v>
      </c>
      <c r="K50" s="16">
        <v>40</v>
      </c>
      <c r="L50" s="21"/>
      <c r="M50" s="21"/>
      <c r="N50" s="21"/>
      <c r="O50" s="21"/>
      <c r="P50" s="21"/>
      <c r="Q50" s="21"/>
    </row>
    <row r="51" spans="1:17" ht="25.5" customHeight="1">
      <c r="A51" s="14">
        <v>49</v>
      </c>
      <c r="B51" s="14" t="s">
        <v>121</v>
      </c>
      <c r="C51" s="14" t="s">
        <v>20</v>
      </c>
      <c r="D51" s="15">
        <v>1</v>
      </c>
      <c r="E51" s="14" t="s">
        <v>122</v>
      </c>
      <c r="F51" s="14">
        <f t="shared" si="0"/>
        <v>680</v>
      </c>
      <c r="G51" s="17">
        <f t="shared" si="1"/>
        <v>9.9733333333333323E-3</v>
      </c>
      <c r="H51" s="19">
        <f t="shared" si="2"/>
        <v>14.361599999999997</v>
      </c>
      <c r="I51" s="15">
        <v>6.91</v>
      </c>
      <c r="J51" s="133">
        <v>6.3000000000000003E-4</v>
      </c>
      <c r="K51" s="16">
        <v>40</v>
      </c>
      <c r="L51" s="21"/>
      <c r="M51" s="21"/>
      <c r="N51" s="21"/>
      <c r="O51" s="21"/>
      <c r="P51" s="21"/>
      <c r="Q51" s="21"/>
    </row>
    <row r="52" spans="1:17" ht="25.5" customHeight="1">
      <c r="A52" s="14">
        <v>50</v>
      </c>
      <c r="B52" s="14" t="s">
        <v>123</v>
      </c>
      <c r="C52" s="14" t="s">
        <v>20</v>
      </c>
      <c r="D52" s="15">
        <v>1.5</v>
      </c>
      <c r="E52" s="14" t="s">
        <v>124</v>
      </c>
      <c r="F52" s="14">
        <f t="shared" si="0"/>
        <v>1020</v>
      </c>
      <c r="G52" s="17">
        <f t="shared" si="1"/>
        <v>1.4960000000000001E-2</v>
      </c>
      <c r="H52" s="19">
        <f t="shared" si="2"/>
        <v>21.542400000000001</v>
      </c>
      <c r="I52" s="15">
        <v>0.6</v>
      </c>
      <c r="J52" s="133">
        <v>6.3000000000000003E-4</v>
      </c>
      <c r="K52" s="16">
        <v>40</v>
      </c>
      <c r="L52" s="21"/>
      <c r="M52" s="21"/>
      <c r="N52" s="21"/>
      <c r="O52" s="21"/>
      <c r="P52" s="21"/>
      <c r="Q52" s="21"/>
    </row>
    <row r="53" spans="1:17" ht="25.5" customHeight="1">
      <c r="A53" s="14">
        <v>51</v>
      </c>
      <c r="B53" s="14" t="s">
        <v>125</v>
      </c>
      <c r="C53" s="14" t="s">
        <v>20</v>
      </c>
      <c r="D53" s="15">
        <v>1.5</v>
      </c>
      <c r="E53" s="14" t="s">
        <v>126</v>
      </c>
      <c r="F53" s="14">
        <f t="shared" si="0"/>
        <v>1020</v>
      </c>
      <c r="G53" s="17">
        <f t="shared" si="1"/>
        <v>1.4960000000000001E-2</v>
      </c>
      <c r="H53" s="19">
        <f t="shared" si="2"/>
        <v>21.542400000000001</v>
      </c>
      <c r="I53" s="15">
        <v>6.42</v>
      </c>
      <c r="J53" s="133">
        <v>6.3000000000000003E-4</v>
      </c>
      <c r="K53" s="16">
        <v>40</v>
      </c>
      <c r="L53" s="21"/>
      <c r="M53" s="21"/>
      <c r="N53" s="21"/>
      <c r="O53" s="21"/>
      <c r="P53" s="21"/>
      <c r="Q53" s="21"/>
    </row>
    <row r="54" spans="1:17" ht="25.5" customHeight="1">
      <c r="A54" s="14">
        <v>52</v>
      </c>
      <c r="B54" s="14" t="s">
        <v>127</v>
      </c>
      <c r="C54" s="14" t="s">
        <v>20</v>
      </c>
      <c r="D54" s="15">
        <v>1.5</v>
      </c>
      <c r="E54" s="14" t="s">
        <v>128</v>
      </c>
      <c r="F54" s="14">
        <f t="shared" si="0"/>
        <v>1020</v>
      </c>
      <c r="G54" s="17">
        <f t="shared" si="1"/>
        <v>1.4960000000000001E-2</v>
      </c>
      <c r="H54" s="19">
        <f t="shared" si="2"/>
        <v>21.542400000000001</v>
      </c>
      <c r="I54" s="15">
        <v>7.43</v>
      </c>
      <c r="J54" s="133">
        <v>6.3000000000000003E-4</v>
      </c>
      <c r="K54" s="16">
        <v>40</v>
      </c>
      <c r="L54" s="21"/>
      <c r="M54" s="21"/>
      <c r="N54" s="21"/>
      <c r="O54" s="21"/>
      <c r="P54" s="21"/>
      <c r="Q54" s="21"/>
    </row>
    <row r="55" spans="1:17" ht="25.5" customHeight="1">
      <c r="A55" s="14">
        <v>53</v>
      </c>
      <c r="B55" s="14" t="s">
        <v>129</v>
      </c>
      <c r="C55" s="14" t="s">
        <v>20</v>
      </c>
      <c r="D55" s="15">
        <v>1</v>
      </c>
      <c r="E55" s="14" t="s">
        <v>130</v>
      </c>
      <c r="F55" s="14">
        <f t="shared" si="0"/>
        <v>680</v>
      </c>
      <c r="G55" s="17">
        <f t="shared" si="1"/>
        <v>9.9733333333333323E-3</v>
      </c>
      <c r="H55" s="19">
        <f t="shared" si="2"/>
        <v>14.361599999999997</v>
      </c>
      <c r="I55" s="15">
        <v>0.72</v>
      </c>
      <c r="J55" s="133">
        <v>6.3000000000000003E-4</v>
      </c>
      <c r="K55" s="16">
        <v>40</v>
      </c>
      <c r="L55" s="21"/>
      <c r="M55" s="21"/>
      <c r="N55" s="21"/>
      <c r="O55" s="21"/>
      <c r="P55" s="21"/>
      <c r="Q55" s="21"/>
    </row>
    <row r="56" spans="1:17" ht="25.5" customHeight="1">
      <c r="A56" s="14">
        <v>54</v>
      </c>
      <c r="B56" s="14" t="s">
        <v>131</v>
      </c>
      <c r="C56" s="14" t="s">
        <v>20</v>
      </c>
      <c r="D56" s="15">
        <v>1</v>
      </c>
      <c r="E56" s="14" t="s">
        <v>132</v>
      </c>
      <c r="F56" s="14">
        <f t="shared" si="0"/>
        <v>680</v>
      </c>
      <c r="G56" s="17">
        <f t="shared" si="1"/>
        <v>9.9733333333333323E-3</v>
      </c>
      <c r="H56" s="19">
        <f t="shared" si="2"/>
        <v>14.361599999999997</v>
      </c>
      <c r="I56" s="15">
        <v>0.72</v>
      </c>
      <c r="J56" s="133">
        <v>6.3000000000000003E-4</v>
      </c>
      <c r="K56" s="16">
        <v>40</v>
      </c>
      <c r="L56" s="21"/>
      <c r="M56" s="21"/>
      <c r="N56" s="21"/>
      <c r="O56" s="21"/>
      <c r="P56" s="21"/>
      <c r="Q56" s="21"/>
    </row>
    <row r="57" spans="1:17" ht="25.5" customHeight="1">
      <c r="A57" s="14">
        <v>55</v>
      </c>
      <c r="B57" s="14" t="s">
        <v>133</v>
      </c>
      <c r="C57" s="14" t="s">
        <v>20</v>
      </c>
      <c r="D57" s="15">
        <v>1</v>
      </c>
      <c r="E57" s="14" t="s">
        <v>134</v>
      </c>
      <c r="F57" s="14">
        <f t="shared" si="0"/>
        <v>680</v>
      </c>
      <c r="G57" s="17">
        <f t="shared" si="1"/>
        <v>9.9733333333333323E-3</v>
      </c>
      <c r="H57" s="19">
        <f t="shared" si="2"/>
        <v>14.361599999999997</v>
      </c>
      <c r="I57" s="15">
        <v>13.54</v>
      </c>
      <c r="J57" s="133">
        <v>6.3000000000000003E-4</v>
      </c>
      <c r="K57" s="16">
        <v>40</v>
      </c>
      <c r="L57" s="21"/>
      <c r="M57" s="21"/>
      <c r="N57" s="21"/>
      <c r="O57" s="21"/>
      <c r="P57" s="21"/>
      <c r="Q57" s="21"/>
    </row>
    <row r="58" spans="1:17" ht="25.5" customHeight="1">
      <c r="A58" s="14">
        <v>56</v>
      </c>
      <c r="B58" s="14" t="s">
        <v>135</v>
      </c>
      <c r="C58" s="14" t="s">
        <v>20</v>
      </c>
      <c r="D58" s="15">
        <v>1</v>
      </c>
      <c r="E58" s="14" t="s">
        <v>136</v>
      </c>
      <c r="F58" s="14">
        <f t="shared" si="0"/>
        <v>680</v>
      </c>
      <c r="G58" s="17">
        <f t="shared" si="1"/>
        <v>9.9733333333333323E-3</v>
      </c>
      <c r="H58" s="19">
        <f t="shared" si="2"/>
        <v>14.361599999999997</v>
      </c>
      <c r="I58" s="15">
        <v>5.53</v>
      </c>
      <c r="J58" s="133">
        <v>6.3000000000000003E-4</v>
      </c>
      <c r="K58" s="16">
        <v>40</v>
      </c>
      <c r="L58" s="21"/>
      <c r="M58" s="21"/>
      <c r="N58" s="21"/>
      <c r="O58" s="21"/>
      <c r="P58" s="21"/>
      <c r="Q58" s="21"/>
    </row>
    <row r="59" spans="1:17" ht="25.5" customHeight="1">
      <c r="A59" s="14">
        <v>57</v>
      </c>
      <c r="B59" s="14" t="s">
        <v>137</v>
      </c>
      <c r="C59" s="14" t="s">
        <v>20</v>
      </c>
      <c r="D59" s="15">
        <v>1.5</v>
      </c>
      <c r="E59" s="14" t="s">
        <v>138</v>
      </c>
      <c r="F59" s="14">
        <f t="shared" si="0"/>
        <v>1020</v>
      </c>
      <c r="G59" s="17">
        <f t="shared" si="1"/>
        <v>1.4960000000000001E-2</v>
      </c>
      <c r="H59" s="19">
        <f t="shared" si="2"/>
        <v>21.542400000000001</v>
      </c>
      <c r="I59" s="15">
        <v>3.5</v>
      </c>
      <c r="J59" s="133">
        <v>6.3000000000000003E-4</v>
      </c>
      <c r="K59" s="16">
        <v>40</v>
      </c>
      <c r="L59" s="21"/>
      <c r="M59" s="21"/>
      <c r="N59" s="21"/>
      <c r="O59" s="21"/>
      <c r="P59" s="21"/>
      <c r="Q59" s="21"/>
    </row>
    <row r="60" spans="1:17" ht="25.5" customHeight="1">
      <c r="A60" s="108" t="s">
        <v>347</v>
      </c>
      <c r="B60" s="109"/>
      <c r="C60" s="109"/>
      <c r="D60" s="109"/>
      <c r="E60" s="109"/>
      <c r="F60" s="109"/>
      <c r="G60" s="109"/>
      <c r="H60" s="110"/>
      <c r="I60" s="135">
        <f>SUM(I3:I59)</f>
        <v>343.74000000000007</v>
      </c>
      <c r="J60" s="136"/>
      <c r="K60" s="111" t="s">
        <v>348</v>
      </c>
      <c r="L60" s="21"/>
      <c r="M60" s="21"/>
      <c r="N60" s="21"/>
      <c r="O60" s="21"/>
      <c r="P60" s="21"/>
      <c r="Q60" s="21"/>
    </row>
    <row r="61" spans="1:17">
      <c r="A61" s="14"/>
      <c r="B61" s="14"/>
      <c r="C61" s="14"/>
      <c r="D61" s="14"/>
      <c r="E61" s="14"/>
      <c r="F61" s="14"/>
      <c r="G61" s="18"/>
      <c r="H61" s="14"/>
      <c r="I61" s="14"/>
      <c r="J61" s="137"/>
      <c r="K61" s="138"/>
      <c r="L61" s="21"/>
      <c r="M61" s="21"/>
      <c r="N61" s="21"/>
      <c r="O61" s="21"/>
      <c r="P61" s="21"/>
      <c r="Q61" s="21"/>
    </row>
    <row r="62" spans="1:17" ht="42" customHeight="1">
      <c r="A62" s="139" t="s">
        <v>349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6"/>
      <c r="M62" s="6"/>
      <c r="N62" s="6"/>
      <c r="O62" s="6"/>
      <c r="P62" s="6"/>
      <c r="Q62" s="6"/>
    </row>
    <row r="63" spans="1:17" s="13" customFormat="1" ht="20.25">
      <c r="A63" s="8" t="s">
        <v>1</v>
      </c>
      <c r="B63" s="8" t="s">
        <v>2</v>
      </c>
      <c r="C63" s="8" t="s">
        <v>3</v>
      </c>
      <c r="D63" s="8" t="s">
        <v>4</v>
      </c>
      <c r="E63" s="8" t="s">
        <v>5</v>
      </c>
      <c r="F63" s="8" t="s">
        <v>341</v>
      </c>
      <c r="G63" s="8" t="s">
        <v>342</v>
      </c>
      <c r="H63" s="8" t="s">
        <v>343</v>
      </c>
      <c r="I63" s="8" t="s">
        <v>344</v>
      </c>
      <c r="J63" s="132" t="s">
        <v>345</v>
      </c>
      <c r="K63" s="9" t="s">
        <v>346</v>
      </c>
      <c r="L63" s="12"/>
      <c r="M63" s="12"/>
      <c r="N63" s="12"/>
      <c r="O63" s="12"/>
      <c r="P63" s="12"/>
      <c r="Q63" s="12"/>
    </row>
    <row r="64" spans="1:17" s="22" customFormat="1" ht="25.5" customHeight="1">
      <c r="A64" s="14">
        <f>A59+1</f>
        <v>58</v>
      </c>
      <c r="B64" s="14" t="s">
        <v>19</v>
      </c>
      <c r="C64" s="14" t="s">
        <v>350</v>
      </c>
      <c r="D64" s="15">
        <v>4</v>
      </c>
      <c r="E64" s="14" t="s">
        <v>351</v>
      </c>
      <c r="F64" s="14">
        <f t="shared" ref="F64:F70" si="3">680*D64</f>
        <v>2720</v>
      </c>
      <c r="G64" s="17">
        <f t="shared" ref="G64:G70" si="4">F64*0.88/1000/60</f>
        <v>3.9893333333333329E-2</v>
      </c>
      <c r="H64" s="19">
        <f t="shared" ref="H64:H70" si="5">G64*24*60</f>
        <v>57.44639999999999</v>
      </c>
      <c r="I64" s="16">
        <v>42</v>
      </c>
      <c r="J64" s="133">
        <v>6.3000000000000003E-4</v>
      </c>
      <c r="K64" s="16">
        <v>40</v>
      </c>
      <c r="L64" s="21"/>
      <c r="M64" s="21"/>
      <c r="N64" s="21"/>
      <c r="O64" s="21"/>
      <c r="P64" s="21"/>
      <c r="Q64" s="21"/>
    </row>
    <row r="65" spans="1:19" ht="25.5" customHeight="1">
      <c r="A65" s="14">
        <f>A64+1</f>
        <v>59</v>
      </c>
      <c r="B65" s="14" t="s">
        <v>25</v>
      </c>
      <c r="C65" s="14" t="s">
        <v>350</v>
      </c>
      <c r="D65" s="15">
        <v>4</v>
      </c>
      <c r="E65" s="14" t="s">
        <v>352</v>
      </c>
      <c r="F65" s="14">
        <f t="shared" si="3"/>
        <v>2720</v>
      </c>
      <c r="G65" s="17">
        <f t="shared" si="4"/>
        <v>3.9893333333333329E-2</v>
      </c>
      <c r="H65" s="19">
        <f t="shared" si="5"/>
        <v>57.44639999999999</v>
      </c>
      <c r="I65" s="16">
        <v>3</v>
      </c>
      <c r="J65" s="133">
        <v>6.3000000000000003E-4</v>
      </c>
      <c r="K65" s="16">
        <v>40</v>
      </c>
      <c r="L65" s="21"/>
      <c r="M65" s="21"/>
      <c r="N65" s="21"/>
      <c r="O65" s="21"/>
      <c r="P65" s="21"/>
      <c r="Q65" s="21"/>
    </row>
    <row r="66" spans="1:19" ht="25.5" customHeight="1">
      <c r="A66" s="14">
        <f t="shared" ref="A66:A70" si="6">A65+1</f>
        <v>60</v>
      </c>
      <c r="B66" s="14" t="s">
        <v>27</v>
      </c>
      <c r="C66" s="14" t="s">
        <v>350</v>
      </c>
      <c r="D66" s="15">
        <v>3</v>
      </c>
      <c r="E66" s="14" t="s">
        <v>353</v>
      </c>
      <c r="F66" s="14">
        <f t="shared" si="3"/>
        <v>2040</v>
      </c>
      <c r="G66" s="17">
        <f t="shared" si="4"/>
        <v>2.9920000000000002E-2</v>
      </c>
      <c r="H66" s="19">
        <f t="shared" si="5"/>
        <v>43.084800000000001</v>
      </c>
      <c r="I66" s="16">
        <v>7</v>
      </c>
      <c r="J66" s="133">
        <v>6.3000000000000003E-4</v>
      </c>
      <c r="K66" s="16">
        <v>40</v>
      </c>
      <c r="L66" s="21"/>
      <c r="M66" s="21"/>
      <c r="N66" s="21"/>
      <c r="O66" s="21"/>
      <c r="P66" s="21"/>
      <c r="Q66" s="21"/>
      <c r="S66" s="23"/>
    </row>
    <row r="67" spans="1:19" ht="25.5" customHeight="1">
      <c r="A67" s="14">
        <f t="shared" si="6"/>
        <v>61</v>
      </c>
      <c r="B67" s="14" t="s">
        <v>29</v>
      </c>
      <c r="C67" s="14" t="s">
        <v>350</v>
      </c>
      <c r="D67" s="15">
        <v>4</v>
      </c>
      <c r="E67" s="14" t="s">
        <v>354</v>
      </c>
      <c r="F67" s="14">
        <f t="shared" si="3"/>
        <v>2720</v>
      </c>
      <c r="G67" s="17">
        <f t="shared" si="4"/>
        <v>3.9893333333333329E-2</v>
      </c>
      <c r="H67" s="19">
        <f t="shared" si="5"/>
        <v>57.44639999999999</v>
      </c>
      <c r="I67" s="16">
        <v>3</v>
      </c>
      <c r="J67" s="133">
        <v>6.3000000000000003E-4</v>
      </c>
      <c r="K67" s="16">
        <v>40</v>
      </c>
      <c r="L67" s="21"/>
      <c r="M67" s="21"/>
      <c r="N67" s="21"/>
      <c r="O67" s="21"/>
      <c r="P67" s="21"/>
      <c r="Q67" s="21"/>
      <c r="S67" s="23"/>
    </row>
    <row r="68" spans="1:19" ht="25.5" customHeight="1">
      <c r="A68" s="14">
        <f t="shared" si="6"/>
        <v>62</v>
      </c>
      <c r="B68" s="14" t="s">
        <v>31</v>
      </c>
      <c r="C68" s="14" t="s">
        <v>350</v>
      </c>
      <c r="D68" s="15">
        <v>4</v>
      </c>
      <c r="E68" s="14" t="s">
        <v>355</v>
      </c>
      <c r="F68" s="14">
        <f t="shared" si="3"/>
        <v>2720</v>
      </c>
      <c r="G68" s="17">
        <f t="shared" si="4"/>
        <v>3.9893333333333329E-2</v>
      </c>
      <c r="H68" s="19">
        <f t="shared" si="5"/>
        <v>57.44639999999999</v>
      </c>
      <c r="I68" s="16">
        <v>3</v>
      </c>
      <c r="J68" s="133">
        <v>6.3000000000000003E-4</v>
      </c>
      <c r="K68" s="16">
        <v>40</v>
      </c>
      <c r="L68" s="21"/>
      <c r="M68" s="21"/>
      <c r="N68" s="21"/>
      <c r="O68" s="21"/>
      <c r="P68" s="21"/>
      <c r="Q68" s="21"/>
      <c r="S68" s="23"/>
    </row>
    <row r="69" spans="1:19" ht="25.5" customHeight="1">
      <c r="A69" s="14">
        <f t="shared" si="6"/>
        <v>63</v>
      </c>
      <c r="B69" s="14" t="s">
        <v>34</v>
      </c>
      <c r="C69" s="14" t="s">
        <v>350</v>
      </c>
      <c r="D69" s="15">
        <v>4</v>
      </c>
      <c r="E69" s="14" t="s">
        <v>356</v>
      </c>
      <c r="F69" s="14">
        <f t="shared" si="3"/>
        <v>2720</v>
      </c>
      <c r="G69" s="17">
        <f t="shared" si="4"/>
        <v>3.9893333333333329E-2</v>
      </c>
      <c r="H69" s="19">
        <f t="shared" si="5"/>
        <v>57.44639999999999</v>
      </c>
      <c r="I69" s="16">
        <v>12</v>
      </c>
      <c r="J69" s="133">
        <v>6.3000000000000003E-4</v>
      </c>
      <c r="K69" s="16">
        <v>40</v>
      </c>
      <c r="L69" s="21"/>
      <c r="M69" s="21"/>
      <c r="N69" s="21"/>
      <c r="O69" s="21"/>
      <c r="P69" s="21"/>
      <c r="Q69" s="21"/>
      <c r="S69" s="23"/>
    </row>
    <row r="70" spans="1:19" ht="25.5" customHeight="1">
      <c r="A70" s="14">
        <f t="shared" si="6"/>
        <v>64</v>
      </c>
      <c r="B70" s="14" t="s">
        <v>36</v>
      </c>
      <c r="C70" s="14" t="s">
        <v>350</v>
      </c>
      <c r="D70" s="15">
        <v>4</v>
      </c>
      <c r="E70" s="14" t="s">
        <v>357</v>
      </c>
      <c r="F70" s="14">
        <f t="shared" si="3"/>
        <v>2720</v>
      </c>
      <c r="G70" s="17">
        <f t="shared" si="4"/>
        <v>3.9893333333333329E-2</v>
      </c>
      <c r="H70" s="19">
        <f t="shared" si="5"/>
        <v>57.44639999999999</v>
      </c>
      <c r="I70" s="16">
        <v>3</v>
      </c>
      <c r="J70" s="133">
        <v>6.3000000000000003E-4</v>
      </c>
      <c r="K70" s="16">
        <v>40</v>
      </c>
      <c r="L70" s="21"/>
      <c r="M70" s="21"/>
      <c r="N70" s="21"/>
      <c r="O70" s="21"/>
      <c r="P70" s="21"/>
      <c r="Q70" s="21"/>
      <c r="S70" s="23"/>
    </row>
    <row r="71" spans="1:19" ht="11.25" customHeight="1">
      <c r="A71" s="108" t="s">
        <v>347</v>
      </c>
      <c r="B71" s="109"/>
      <c r="C71" s="109"/>
      <c r="D71" s="109"/>
      <c r="E71" s="109"/>
      <c r="F71" s="109"/>
      <c r="G71" s="109"/>
      <c r="H71" s="110"/>
      <c r="I71" s="111">
        <f>SUM(I64:I70)</f>
        <v>73</v>
      </c>
      <c r="J71" s="136"/>
      <c r="K71" s="111" t="s">
        <v>348</v>
      </c>
    </row>
    <row r="72" spans="1:19" ht="11.25" customHeight="1"/>
    <row r="73" spans="1:19" ht="11.25" customHeight="1"/>
    <row r="74" spans="1:19" ht="11.25" customHeight="1"/>
    <row r="75" spans="1:19" ht="11.25" customHeight="1"/>
    <row r="76" spans="1:19" ht="11.25" customHeight="1"/>
    <row r="77" spans="1:19" ht="11.25" customHeight="1"/>
    <row r="78" spans="1:19" ht="11.25" customHeight="1"/>
    <row r="79" spans="1:19" ht="11.25" customHeight="1"/>
    <row r="80" spans="1:19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</sheetData>
  <mergeCells count="4">
    <mergeCell ref="A1:E1"/>
    <mergeCell ref="A60:H60"/>
    <mergeCell ref="A62:K62"/>
    <mergeCell ref="A71:H71"/>
  </mergeCells>
  <phoneticPr fontId="1" type="noConversion"/>
  <pageMargins left="0.23622047244094491" right="0.23622047244094491" top="0.15748031496062992" bottom="0.15748031496062992" header="0" footer="0"/>
  <pageSetup paperSize="8" scale="64" fitToHeight="0" orientation="landscape" horizontalDpi="4294967293" verticalDpi="429496729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75394-30C3-4D3B-9242-135A50D4BFF5}">
  <dimension ref="A1:R189"/>
  <sheetViews>
    <sheetView zoomScale="85" zoomScaleNormal="85" workbookViewId="0"/>
  </sheetViews>
  <sheetFormatPr defaultRowHeight="15"/>
  <cols>
    <col min="1" max="1" width="5.28515625" style="124" customWidth="1"/>
    <col min="2" max="2" width="20.5703125" style="124" customWidth="1"/>
    <col min="3" max="3" width="9.7109375" style="124" customWidth="1"/>
    <col min="4" max="4" width="13.42578125" style="124" customWidth="1"/>
    <col min="5" max="5" width="18" style="124" customWidth="1"/>
    <col min="6" max="6" width="17.28515625" style="124" customWidth="1"/>
    <col min="7" max="7" width="12.140625" style="124" customWidth="1"/>
    <col min="8" max="11" width="17.42578125" style="124" customWidth="1"/>
    <col min="12" max="13" width="7.85546875" style="124" customWidth="1"/>
    <col min="14" max="14" width="10" style="124" customWidth="1"/>
    <col min="15" max="15" width="11.42578125" style="124" customWidth="1"/>
    <col min="16" max="16" width="8.5703125" style="124" customWidth="1"/>
    <col min="17" max="17" width="11.85546875" style="124" customWidth="1"/>
    <col min="18" max="18" width="14.85546875" style="119" customWidth="1"/>
    <col min="19" max="34" width="9.140625" style="119"/>
    <col min="35" max="35" width="13.7109375" style="119" bestFit="1" customWidth="1"/>
    <col min="36" max="36" width="13.140625" style="119" bestFit="1" customWidth="1"/>
    <col min="37" max="16384" width="9.140625" style="119"/>
  </cols>
  <sheetData>
    <row r="1" spans="1:18">
      <c r="A1" s="124" t="s">
        <v>358</v>
      </c>
    </row>
    <row r="2" spans="1:18" ht="29.25">
      <c r="A2" s="118" t="s">
        <v>1</v>
      </c>
      <c r="B2" s="118" t="s">
        <v>8</v>
      </c>
      <c r="C2" s="118" t="s">
        <v>359</v>
      </c>
      <c r="D2" s="118" t="s">
        <v>360</v>
      </c>
      <c r="E2" s="118" t="s">
        <v>361</v>
      </c>
      <c r="F2" s="118" t="s">
        <v>362</v>
      </c>
      <c r="G2" s="118" t="s">
        <v>363</v>
      </c>
      <c r="H2" s="118" t="s">
        <v>364</v>
      </c>
      <c r="I2" s="118" t="s">
        <v>202</v>
      </c>
      <c r="J2" s="118" t="s">
        <v>365</v>
      </c>
      <c r="K2" s="118" t="s">
        <v>366</v>
      </c>
      <c r="L2" s="118" t="s">
        <v>367</v>
      </c>
      <c r="M2" s="118" t="s">
        <v>368</v>
      </c>
      <c r="N2" s="118" t="s">
        <v>369</v>
      </c>
      <c r="O2" s="118" t="s">
        <v>370</v>
      </c>
      <c r="P2" s="118" t="s">
        <v>371</v>
      </c>
      <c r="Q2" s="118" t="s">
        <v>372</v>
      </c>
    </row>
    <row r="3" spans="1:18">
      <c r="A3" s="120">
        <v>1</v>
      </c>
      <c r="B3" s="120" t="s">
        <v>373</v>
      </c>
      <c r="C3" s="120">
        <v>1</v>
      </c>
      <c r="D3" s="121">
        <v>5.9</v>
      </c>
      <c r="E3" s="120" t="s">
        <v>374</v>
      </c>
      <c r="F3" s="120" t="s">
        <v>375</v>
      </c>
      <c r="G3" s="120">
        <v>0.47499999999999998</v>
      </c>
      <c r="H3" s="120"/>
      <c r="I3" s="121">
        <f t="shared" ref="I3:I18" si="0">IF(E3="Flexível - Circular",D3,0)</f>
        <v>0</v>
      </c>
      <c r="J3" s="121">
        <f>IF(E3="Retangular - TDC",D3,0)*(2*L3+2*M3)*1.35</f>
        <v>4.7790000000000008</v>
      </c>
      <c r="K3" s="122">
        <f t="shared" ref="K3:K18" si="1">J3*G3*7600/1000</f>
        <v>17.252190000000002</v>
      </c>
      <c r="L3" s="120">
        <v>0.15</v>
      </c>
      <c r="M3" s="120">
        <v>0.15</v>
      </c>
      <c r="N3" s="123"/>
      <c r="O3" s="123">
        <f>MAX((L3*M3),(3.14159*(N3/2)^2))</f>
        <v>2.2499999999999999E-2</v>
      </c>
      <c r="P3" s="120">
        <v>500</v>
      </c>
      <c r="Q3" s="122">
        <f>P3/3600/O3</f>
        <v>6.1728395061728403</v>
      </c>
      <c r="R3" s="119" t="str">
        <f t="shared" ref="R3:R58" si="2">IF(Q3&lt;10,"ok","não")</f>
        <v>ok</v>
      </c>
    </row>
    <row r="4" spans="1:18">
      <c r="A4" s="120">
        <v>2</v>
      </c>
      <c r="B4" s="120" t="s">
        <v>373</v>
      </c>
      <c r="C4" s="120">
        <v>2</v>
      </c>
      <c r="D4" s="121">
        <v>2</v>
      </c>
      <c r="E4" s="120" t="s">
        <v>376</v>
      </c>
      <c r="F4" s="120" t="s">
        <v>377</v>
      </c>
      <c r="G4" s="120"/>
      <c r="H4" s="120"/>
      <c r="I4" s="121">
        <f t="shared" si="0"/>
        <v>2</v>
      </c>
      <c r="J4" s="121">
        <f>IF(E4="Retangular - TDC",D4,0)*(2*L4+2*M4)*1.35</f>
        <v>0</v>
      </c>
      <c r="K4" s="122">
        <f t="shared" si="1"/>
        <v>0</v>
      </c>
      <c r="L4" s="120"/>
      <c r="M4" s="120"/>
      <c r="N4" s="123">
        <v>0.15</v>
      </c>
      <c r="O4" s="123">
        <f>MAX((L4*M4),(3.14159*(N4/2)^2))</f>
        <v>1.7671443749999998E-2</v>
      </c>
      <c r="P4" s="120">
        <v>500</v>
      </c>
      <c r="Q4" s="122">
        <f t="shared" ref="Q4:Q18" si="3">P4/3600/O4</f>
        <v>7.8595100012068286</v>
      </c>
      <c r="R4" s="119" t="str">
        <f t="shared" si="2"/>
        <v>ok</v>
      </c>
    </row>
    <row r="5" spans="1:18">
      <c r="A5" s="120">
        <v>3</v>
      </c>
      <c r="B5" s="120" t="s">
        <v>373</v>
      </c>
      <c r="C5" s="120">
        <v>3</v>
      </c>
      <c r="D5" s="121">
        <v>5.9</v>
      </c>
      <c r="E5" s="120" t="s">
        <v>374</v>
      </c>
      <c r="F5" s="120" t="s">
        <v>375</v>
      </c>
      <c r="G5" s="120">
        <v>0.47499999999999998</v>
      </c>
      <c r="H5" s="120"/>
      <c r="I5" s="121">
        <f t="shared" si="0"/>
        <v>0</v>
      </c>
      <c r="J5" s="121">
        <f t="shared" ref="J5:J9" si="4">IF(E5="Retangular - TDC",D5,0)*(2*L5+2*M5)*1.35</f>
        <v>5.5754999999999999</v>
      </c>
      <c r="K5" s="122">
        <f t="shared" si="1"/>
        <v>20.127554999999997</v>
      </c>
      <c r="L5" s="120">
        <v>0.15</v>
      </c>
      <c r="M5" s="120">
        <v>0.2</v>
      </c>
      <c r="N5" s="123"/>
      <c r="O5" s="123">
        <f t="shared" ref="O5:O9" si="5">MAX((L5*M5),(3.14159*(N5/2)^2))</f>
        <v>0.03</v>
      </c>
      <c r="P5" s="120">
        <v>1000</v>
      </c>
      <c r="Q5" s="122">
        <f t="shared" si="3"/>
        <v>9.2592592592592595</v>
      </c>
      <c r="R5" s="119" t="str">
        <f t="shared" si="2"/>
        <v>ok</v>
      </c>
    </row>
    <row r="6" spans="1:18">
      <c r="A6" s="120">
        <v>4</v>
      </c>
      <c r="B6" s="120" t="s">
        <v>373</v>
      </c>
      <c r="C6" s="120">
        <v>4</v>
      </c>
      <c r="D6" s="121">
        <v>2</v>
      </c>
      <c r="E6" s="120" t="s">
        <v>376</v>
      </c>
      <c r="F6" s="120" t="s">
        <v>377</v>
      </c>
      <c r="G6" s="120"/>
      <c r="H6" s="120"/>
      <c r="I6" s="121">
        <f t="shared" si="0"/>
        <v>2</v>
      </c>
      <c r="J6" s="121">
        <f>IF(E6="Retangular - TDC",D6,0)*(2*L6+2*M6)*1.35</f>
        <v>0</v>
      </c>
      <c r="K6" s="122">
        <f t="shared" si="1"/>
        <v>0</v>
      </c>
      <c r="L6" s="120"/>
      <c r="M6" s="120"/>
      <c r="N6" s="123">
        <v>0.15</v>
      </c>
      <c r="O6" s="123">
        <f>MAX((L6*M6),(3.14159*(N6/2)^2))</f>
        <v>1.7671443749999998E-2</v>
      </c>
      <c r="P6" s="120">
        <v>500</v>
      </c>
      <c r="Q6" s="122">
        <f t="shared" si="3"/>
        <v>7.8595100012068286</v>
      </c>
      <c r="R6" s="119" t="str">
        <f t="shared" si="2"/>
        <v>ok</v>
      </c>
    </row>
    <row r="7" spans="1:18">
      <c r="A7" s="120">
        <v>5</v>
      </c>
      <c r="B7" s="120" t="s">
        <v>378</v>
      </c>
      <c r="C7" s="120">
        <v>1</v>
      </c>
      <c r="D7" s="121">
        <v>5.9</v>
      </c>
      <c r="E7" s="120" t="s">
        <v>374</v>
      </c>
      <c r="F7" s="120" t="s">
        <v>375</v>
      </c>
      <c r="G7" s="120">
        <v>0.47499999999999998</v>
      </c>
      <c r="H7" s="120"/>
      <c r="I7" s="121">
        <f t="shared" si="0"/>
        <v>0</v>
      </c>
      <c r="J7" s="121">
        <f t="shared" ref="J7:J11" si="6">IF(E7="Retangular - TDC",D7,0)*(2*L7+2*M7)*1.35</f>
        <v>7.1684999999999999</v>
      </c>
      <c r="K7" s="122">
        <f t="shared" si="1"/>
        <v>25.878284999999995</v>
      </c>
      <c r="L7" s="120">
        <v>0.15</v>
      </c>
      <c r="M7" s="120">
        <v>0.3</v>
      </c>
      <c r="N7" s="123"/>
      <c r="O7" s="123">
        <f t="shared" ref="O7:O11" si="7">MAX((L7*M7),(3.14159*(N7/2)^2))</f>
        <v>4.4999999999999998E-2</v>
      </c>
      <c r="P7" s="120">
        <v>1500</v>
      </c>
      <c r="Q7" s="122">
        <f t="shared" si="3"/>
        <v>9.2592592592592595</v>
      </c>
      <c r="R7" s="119" t="str">
        <f t="shared" si="2"/>
        <v>ok</v>
      </c>
    </row>
    <row r="8" spans="1:18">
      <c r="A8" s="120">
        <v>6</v>
      </c>
      <c r="B8" s="120" t="s">
        <v>379</v>
      </c>
      <c r="C8" s="120">
        <v>3</v>
      </c>
      <c r="D8" s="121">
        <v>2</v>
      </c>
      <c r="E8" s="120" t="s">
        <v>376</v>
      </c>
      <c r="F8" s="120" t="s">
        <v>377</v>
      </c>
      <c r="G8" s="120"/>
      <c r="H8" s="120"/>
      <c r="I8" s="121">
        <f t="shared" si="0"/>
        <v>2</v>
      </c>
      <c r="J8" s="121">
        <f>IF(E8="Retangular - TDC",D8,0)*(2*L8+2*M8)*1.35</f>
        <v>0</v>
      </c>
      <c r="K8" s="122">
        <f t="shared" si="1"/>
        <v>0</v>
      </c>
      <c r="L8" s="120"/>
      <c r="M8" s="120"/>
      <c r="N8" s="123">
        <v>0.15</v>
      </c>
      <c r="O8" s="123">
        <f>MAX((L8*M8),(3.14159*(N8/2)^2))</f>
        <v>1.7671443749999998E-2</v>
      </c>
      <c r="P8" s="120">
        <v>500</v>
      </c>
      <c r="Q8" s="122">
        <f t="shared" si="3"/>
        <v>7.8595100012068286</v>
      </c>
      <c r="R8" s="119" t="str">
        <f t="shared" si="2"/>
        <v>ok</v>
      </c>
    </row>
    <row r="9" spans="1:18">
      <c r="A9" s="120">
        <v>7</v>
      </c>
      <c r="B9" s="120" t="s">
        <v>379</v>
      </c>
      <c r="C9" s="120">
        <v>4</v>
      </c>
      <c r="D9" s="121">
        <v>5.9</v>
      </c>
      <c r="E9" s="120" t="s">
        <v>374</v>
      </c>
      <c r="F9" s="120" t="s">
        <v>375</v>
      </c>
      <c r="G9" s="120">
        <v>0.47499999999999998</v>
      </c>
      <c r="H9" s="120"/>
      <c r="I9" s="121">
        <f t="shared" si="0"/>
        <v>0</v>
      </c>
      <c r="J9" s="121">
        <f t="shared" ref="J9:J13" si="8">IF(E9="Retangular - TDC",D9,0)*(2*L9+2*M9)*1.35</f>
        <v>8.7615000000000016</v>
      </c>
      <c r="K9" s="122">
        <f t="shared" si="1"/>
        <v>31.629014999999999</v>
      </c>
      <c r="L9" s="120">
        <v>0.15</v>
      </c>
      <c r="M9" s="120">
        <v>0.4</v>
      </c>
      <c r="N9" s="123"/>
      <c r="O9" s="123">
        <f t="shared" ref="O9:O13" si="9">MAX((L9*M9),(3.14159*(N9/2)^2))</f>
        <v>0.06</v>
      </c>
      <c r="P9" s="120">
        <v>2000</v>
      </c>
      <c r="Q9" s="122">
        <f t="shared" si="3"/>
        <v>9.2592592592592595</v>
      </c>
      <c r="R9" s="119" t="str">
        <f t="shared" si="2"/>
        <v>ok</v>
      </c>
    </row>
    <row r="10" spans="1:18">
      <c r="A10" s="120">
        <v>8</v>
      </c>
      <c r="B10" s="120" t="s">
        <v>379</v>
      </c>
      <c r="C10" s="120">
        <v>4</v>
      </c>
      <c r="D10" s="121">
        <v>2</v>
      </c>
      <c r="E10" s="120" t="s">
        <v>376</v>
      </c>
      <c r="F10" s="120" t="s">
        <v>377</v>
      </c>
      <c r="G10" s="120"/>
      <c r="H10" s="120"/>
      <c r="I10" s="121">
        <f t="shared" si="0"/>
        <v>2</v>
      </c>
      <c r="J10" s="121">
        <f>IF(E10="Retangular - TDC",D10,0)*(2*L10+2*M10)*1.35</f>
        <v>0</v>
      </c>
      <c r="K10" s="122">
        <f t="shared" si="1"/>
        <v>0</v>
      </c>
      <c r="L10" s="120"/>
      <c r="M10" s="120"/>
      <c r="N10" s="123">
        <v>0.15</v>
      </c>
      <c r="O10" s="123">
        <f>MAX((L10*M10),(3.14159*(N10/2)^2))</f>
        <v>1.7671443749999998E-2</v>
      </c>
      <c r="P10" s="120">
        <v>500</v>
      </c>
      <c r="Q10" s="122">
        <f t="shared" si="3"/>
        <v>7.8595100012068286</v>
      </c>
      <c r="R10" s="119" t="str">
        <f t="shared" si="2"/>
        <v>ok</v>
      </c>
    </row>
    <row r="11" spans="1:18">
      <c r="A11" s="120">
        <v>9</v>
      </c>
      <c r="B11" s="120" t="s">
        <v>379</v>
      </c>
      <c r="C11" s="120">
        <v>5</v>
      </c>
      <c r="D11" s="121">
        <v>1</v>
      </c>
      <c r="E11" s="120" t="s">
        <v>374</v>
      </c>
      <c r="F11" s="120" t="s">
        <v>375</v>
      </c>
      <c r="G11" s="120">
        <v>0.47499999999999998</v>
      </c>
      <c r="H11" s="120"/>
      <c r="I11" s="121">
        <f t="shared" si="0"/>
        <v>0</v>
      </c>
      <c r="J11" s="121">
        <f t="shared" ref="J11:J16" si="10">IF(E11="Retangular - TDC",D11,0)*(2*L11+2*M11)*1.35</f>
        <v>0.81</v>
      </c>
      <c r="K11" s="122">
        <f t="shared" si="1"/>
        <v>2.9240999999999997</v>
      </c>
      <c r="L11" s="120">
        <v>0.15</v>
      </c>
      <c r="M11" s="120">
        <v>0.15</v>
      </c>
      <c r="N11" s="123"/>
      <c r="O11" s="123">
        <f>MAX((L11*M11),(3.14159*(N11/2)^2))</f>
        <v>2.2499999999999999E-2</v>
      </c>
      <c r="P11" s="120">
        <v>500</v>
      </c>
      <c r="Q11" s="122">
        <f t="shared" si="3"/>
        <v>6.1728395061728403</v>
      </c>
      <c r="R11" s="119" t="str">
        <f t="shared" si="2"/>
        <v>ok</v>
      </c>
    </row>
    <row r="12" spans="1:18">
      <c r="A12" s="120">
        <v>10</v>
      </c>
      <c r="B12" s="120" t="s">
        <v>379</v>
      </c>
      <c r="C12" s="120">
        <v>5</v>
      </c>
      <c r="D12" s="121">
        <v>2</v>
      </c>
      <c r="E12" s="120" t="s">
        <v>376</v>
      </c>
      <c r="F12" s="120" t="s">
        <v>377</v>
      </c>
      <c r="G12" s="120"/>
      <c r="H12" s="120"/>
      <c r="I12" s="121">
        <f t="shared" si="0"/>
        <v>2</v>
      </c>
      <c r="J12" s="121">
        <f>IF(E12="Retangular - TDC",D12,0)*(2*L12+2*M12)*1.35</f>
        <v>0</v>
      </c>
      <c r="K12" s="122">
        <f t="shared" si="1"/>
        <v>0</v>
      </c>
      <c r="L12" s="120"/>
      <c r="M12" s="120"/>
      <c r="N12" s="123">
        <v>0.15</v>
      </c>
      <c r="O12" s="123">
        <f>MAX((L12*M12),(3.14159*(N12/2)^2))</f>
        <v>1.7671443749999998E-2</v>
      </c>
      <c r="P12" s="120">
        <v>500</v>
      </c>
      <c r="Q12" s="122">
        <f t="shared" si="3"/>
        <v>7.8595100012068286</v>
      </c>
      <c r="R12" s="119" t="str">
        <f t="shared" si="2"/>
        <v>ok</v>
      </c>
    </row>
    <row r="13" spans="1:18">
      <c r="A13" s="120">
        <v>11</v>
      </c>
      <c r="B13" s="120" t="s">
        <v>379</v>
      </c>
      <c r="C13" s="120">
        <v>6</v>
      </c>
      <c r="D13" s="121">
        <v>6.8</v>
      </c>
      <c r="E13" s="120" t="s">
        <v>374</v>
      </c>
      <c r="F13" s="120" t="s">
        <v>375</v>
      </c>
      <c r="G13" s="120">
        <v>0.47499999999999998</v>
      </c>
      <c r="H13" s="120"/>
      <c r="I13" s="121">
        <f t="shared" si="0"/>
        <v>0</v>
      </c>
      <c r="J13" s="121">
        <f t="shared" ref="J13:J18" si="11">IF(E13="Retangular - TDC",D13,0)*(2*L13+2*M13)*1.35</f>
        <v>5.5080000000000009</v>
      </c>
      <c r="K13" s="122">
        <f t="shared" si="1"/>
        <v>19.883880000000001</v>
      </c>
      <c r="L13" s="120">
        <v>0.15</v>
      </c>
      <c r="M13" s="120">
        <v>0.15</v>
      </c>
      <c r="N13" s="123"/>
      <c r="O13" s="123">
        <f t="shared" ref="O13:O16" si="12">MAX((L13*M13),(3.14159*(N13/2)^2))</f>
        <v>2.2499999999999999E-2</v>
      </c>
      <c r="P13" s="120">
        <v>50</v>
      </c>
      <c r="Q13" s="122">
        <f t="shared" si="3"/>
        <v>0.61728395061728392</v>
      </c>
      <c r="R13" s="119" t="str">
        <f t="shared" si="2"/>
        <v>ok</v>
      </c>
    </row>
    <row r="14" spans="1:18">
      <c r="A14" s="120">
        <v>12</v>
      </c>
      <c r="B14" s="120" t="s">
        <v>379</v>
      </c>
      <c r="C14" s="120">
        <v>6</v>
      </c>
      <c r="D14" s="121">
        <v>2</v>
      </c>
      <c r="E14" s="120" t="s">
        <v>376</v>
      </c>
      <c r="F14" s="120" t="s">
        <v>377</v>
      </c>
      <c r="G14" s="120"/>
      <c r="H14" s="120"/>
      <c r="I14" s="121">
        <f t="shared" si="0"/>
        <v>2</v>
      </c>
      <c r="J14" s="121">
        <f>IF(E14="Retangular - TDC",D14,0)*(2*L14+2*M14)*1.35</f>
        <v>0</v>
      </c>
      <c r="K14" s="122">
        <f t="shared" si="1"/>
        <v>0</v>
      </c>
      <c r="L14" s="120"/>
      <c r="M14" s="120"/>
      <c r="N14" s="123">
        <v>0.15</v>
      </c>
      <c r="O14" s="123">
        <f>MAX((L14*M14),(3.14159*(N14/2)^2))</f>
        <v>1.7671443749999998E-2</v>
      </c>
      <c r="P14" s="120">
        <v>50</v>
      </c>
      <c r="Q14" s="122">
        <f t="shared" si="3"/>
        <v>0.78595100012068286</v>
      </c>
      <c r="R14" s="119" t="str">
        <f t="shared" si="2"/>
        <v>ok</v>
      </c>
    </row>
    <row r="15" spans="1:18">
      <c r="A15" s="120">
        <v>13</v>
      </c>
      <c r="B15" s="120" t="s">
        <v>379</v>
      </c>
      <c r="C15" s="120">
        <v>7</v>
      </c>
      <c r="D15" s="121">
        <v>7</v>
      </c>
      <c r="E15" s="120" t="s">
        <v>374</v>
      </c>
      <c r="F15" s="120" t="s">
        <v>375</v>
      </c>
      <c r="G15" s="120">
        <v>0.47499999999999998</v>
      </c>
      <c r="H15" s="120"/>
      <c r="I15" s="121">
        <f t="shared" si="0"/>
        <v>0</v>
      </c>
      <c r="J15" s="121">
        <f t="shared" ref="J15:J20" si="13">IF(E15="Retangular - TDC",D15,0)*(2*L15+2*M15)*1.35</f>
        <v>6.6149999999999993</v>
      </c>
      <c r="K15" s="122">
        <f t="shared" si="1"/>
        <v>23.880149999999997</v>
      </c>
      <c r="L15" s="120">
        <v>0.15</v>
      </c>
      <c r="M15" s="120">
        <v>0.2</v>
      </c>
      <c r="N15" s="123"/>
      <c r="O15" s="123">
        <f>MAX((L15*M15),(3.14159*(N15/2)^2))</f>
        <v>0.03</v>
      </c>
      <c r="P15" s="120">
        <v>1050</v>
      </c>
      <c r="Q15" s="122">
        <f t="shared" si="3"/>
        <v>9.7222222222222232</v>
      </c>
      <c r="R15" s="119" t="str">
        <f t="shared" si="2"/>
        <v>ok</v>
      </c>
    </row>
    <row r="16" spans="1:18">
      <c r="A16" s="120">
        <v>15</v>
      </c>
      <c r="B16" s="120" t="s">
        <v>379</v>
      </c>
      <c r="C16" s="120">
        <v>8</v>
      </c>
      <c r="D16" s="121">
        <v>7</v>
      </c>
      <c r="E16" s="120" t="s">
        <v>374</v>
      </c>
      <c r="F16" s="120" t="s">
        <v>375</v>
      </c>
      <c r="G16" s="120">
        <v>0.47499999999999998</v>
      </c>
      <c r="H16" s="120"/>
      <c r="I16" s="121">
        <f t="shared" si="0"/>
        <v>0</v>
      </c>
      <c r="J16" s="121">
        <f t="shared" si="13"/>
        <v>5.6700000000000008</v>
      </c>
      <c r="K16" s="122">
        <f t="shared" si="1"/>
        <v>20.468700000000005</v>
      </c>
      <c r="L16" s="120">
        <v>0.15</v>
      </c>
      <c r="M16" s="120">
        <v>0.15</v>
      </c>
      <c r="N16" s="123"/>
      <c r="O16" s="123">
        <f t="shared" ref="O16:O19" si="14">MAX((L16*M16),(3.14159*(N16/2)^2))</f>
        <v>2.2499999999999999E-2</v>
      </c>
      <c r="P16" s="120">
        <v>500</v>
      </c>
      <c r="Q16" s="122">
        <f t="shared" si="3"/>
        <v>6.1728395061728403</v>
      </c>
      <c r="R16" s="119" t="str">
        <f t="shared" si="2"/>
        <v>ok</v>
      </c>
    </row>
    <row r="17" spans="1:18">
      <c r="A17" s="120">
        <v>16</v>
      </c>
      <c r="B17" s="120" t="s">
        <v>379</v>
      </c>
      <c r="C17" s="120">
        <v>8</v>
      </c>
      <c r="D17" s="121">
        <v>2</v>
      </c>
      <c r="E17" s="120" t="s">
        <v>376</v>
      </c>
      <c r="F17" s="120" t="s">
        <v>377</v>
      </c>
      <c r="G17" s="120"/>
      <c r="H17" s="120"/>
      <c r="I17" s="121">
        <f t="shared" si="0"/>
        <v>2</v>
      </c>
      <c r="J17" s="121">
        <f>IF(E17="Retangular - TDC",D17,0)*(2*L17+2*M17)*1.35</f>
        <v>0</v>
      </c>
      <c r="K17" s="122">
        <f t="shared" si="1"/>
        <v>0</v>
      </c>
      <c r="L17" s="120"/>
      <c r="M17" s="120"/>
      <c r="N17" s="123">
        <v>0.15</v>
      </c>
      <c r="O17" s="123">
        <f>MAX((L17*M17),(3.14159*(N17/2)^2))</f>
        <v>1.7671443749999998E-2</v>
      </c>
      <c r="P17" s="120">
        <v>500</v>
      </c>
      <c r="Q17" s="122">
        <f t="shared" si="3"/>
        <v>7.8595100012068286</v>
      </c>
      <c r="R17" s="119" t="str">
        <f t="shared" si="2"/>
        <v>ok</v>
      </c>
    </row>
    <row r="18" spans="1:18">
      <c r="A18" s="120">
        <v>17</v>
      </c>
      <c r="B18" s="120" t="s">
        <v>379</v>
      </c>
      <c r="C18" s="120">
        <v>9</v>
      </c>
      <c r="D18" s="121">
        <v>1</v>
      </c>
      <c r="E18" s="120" t="s">
        <v>374</v>
      </c>
      <c r="F18" s="120" t="s">
        <v>375</v>
      </c>
      <c r="G18" s="120">
        <v>0.47499999999999998</v>
      </c>
      <c r="H18" s="120"/>
      <c r="I18" s="121">
        <f t="shared" si="0"/>
        <v>0</v>
      </c>
      <c r="J18" s="121">
        <f t="shared" ref="J18" si="15">IF(E18="Retangular - TDC",D18,0)*(2*L18+2*M18)*1.35</f>
        <v>2.2949999999999999</v>
      </c>
      <c r="K18" s="122">
        <f t="shared" si="1"/>
        <v>8.2849500000000003</v>
      </c>
      <c r="L18" s="120">
        <v>0.15</v>
      </c>
      <c r="M18" s="120">
        <v>0.7</v>
      </c>
      <c r="N18" s="123"/>
      <c r="O18" s="123">
        <f>MAX((L18*M18),(3.14159*(N18/2)^2))</f>
        <v>0.105</v>
      </c>
      <c r="P18" s="120">
        <f>P15+P11+P9</f>
        <v>3550</v>
      </c>
      <c r="Q18" s="122">
        <f t="shared" si="3"/>
        <v>9.3915343915343925</v>
      </c>
      <c r="R18" s="119" t="str">
        <f t="shared" si="2"/>
        <v>ok</v>
      </c>
    </row>
    <row r="19" spans="1:18" ht="91.5">
      <c r="A19" s="120">
        <v>18</v>
      </c>
      <c r="B19" s="120" t="s">
        <v>379</v>
      </c>
      <c r="C19" s="120" t="s">
        <v>380</v>
      </c>
      <c r="D19" s="121"/>
      <c r="E19" s="120" t="s">
        <v>381</v>
      </c>
      <c r="F19" s="120" t="s">
        <v>375</v>
      </c>
      <c r="G19" s="120"/>
      <c r="H19" s="120">
        <v>8</v>
      </c>
      <c r="I19" s="121"/>
      <c r="J19" s="121"/>
      <c r="K19" s="122"/>
      <c r="L19" s="120"/>
      <c r="M19" s="120"/>
      <c r="N19" s="123"/>
      <c r="O19" s="123"/>
      <c r="P19" s="120"/>
      <c r="Q19" s="122"/>
    </row>
    <row r="20" spans="1:18" ht="30.75">
      <c r="A20" s="120">
        <v>19</v>
      </c>
      <c r="B20" s="120" t="s">
        <v>379</v>
      </c>
      <c r="C20" s="120" t="s">
        <v>380</v>
      </c>
      <c r="D20" s="121"/>
      <c r="E20" s="120" t="s">
        <v>382</v>
      </c>
      <c r="F20" s="120" t="s">
        <v>375</v>
      </c>
      <c r="G20" s="120"/>
      <c r="H20" s="120">
        <v>8</v>
      </c>
      <c r="I20" s="121"/>
      <c r="J20" s="121"/>
      <c r="K20" s="122"/>
      <c r="L20" s="120"/>
      <c r="M20" s="120"/>
      <c r="N20" s="123"/>
      <c r="O20" s="123"/>
      <c r="P20" s="120"/>
      <c r="Q20" s="122"/>
    </row>
    <row r="21" spans="1:18" ht="29.25">
      <c r="A21" s="118" t="s">
        <v>1</v>
      </c>
      <c r="B21" s="118" t="s">
        <v>8</v>
      </c>
      <c r="C21" s="118" t="s">
        <v>359</v>
      </c>
      <c r="D21" s="118" t="s">
        <v>383</v>
      </c>
      <c r="E21" s="118" t="s">
        <v>361</v>
      </c>
      <c r="F21" s="118" t="s">
        <v>362</v>
      </c>
      <c r="G21" s="118" t="s">
        <v>363</v>
      </c>
      <c r="H21" s="118" t="s">
        <v>364</v>
      </c>
      <c r="I21" s="118" t="s">
        <v>202</v>
      </c>
      <c r="J21" s="118" t="s">
        <v>365</v>
      </c>
      <c r="K21" s="118" t="s">
        <v>366</v>
      </c>
      <c r="L21" s="118" t="s">
        <v>367</v>
      </c>
      <c r="M21" s="118" t="s">
        <v>368</v>
      </c>
      <c r="N21" s="118" t="s">
        <v>369</v>
      </c>
      <c r="O21" s="118" t="s">
        <v>370</v>
      </c>
      <c r="P21" s="118" t="s">
        <v>371</v>
      </c>
      <c r="Q21" s="118" t="s">
        <v>372</v>
      </c>
    </row>
    <row r="22" spans="1:18">
      <c r="A22" s="120">
        <v>20</v>
      </c>
      <c r="B22" s="120" t="s">
        <v>384</v>
      </c>
      <c r="C22" s="120">
        <v>1</v>
      </c>
      <c r="D22" s="121">
        <v>1.8</v>
      </c>
      <c r="E22" s="120" t="s">
        <v>374</v>
      </c>
      <c r="F22" s="120" t="s">
        <v>375</v>
      </c>
      <c r="G22" s="120">
        <v>0.47499999999999998</v>
      </c>
      <c r="H22" s="120"/>
      <c r="I22" s="121">
        <f t="shared" ref="I22:I58" si="16">IF(E22="Flexível - Circular",D22,0)</f>
        <v>0</v>
      </c>
      <c r="J22" s="121">
        <f>IF(E22="Retangular - TDC",D22,0)*(2*L22+2*M22)*1.35</f>
        <v>1.4580000000000002</v>
      </c>
      <c r="K22" s="122">
        <f t="shared" ref="K22:K58" si="17">J22*G22*7600/1000</f>
        <v>5.2633800000000006</v>
      </c>
      <c r="L22" s="120">
        <v>0.15</v>
      </c>
      <c r="M22" s="120">
        <v>0.15</v>
      </c>
      <c r="N22" s="123"/>
      <c r="O22" s="123">
        <f>MAX((L22*M22),(3.14159*(N22/2)^2))</f>
        <v>2.2499999999999999E-2</v>
      </c>
      <c r="P22" s="120">
        <v>200</v>
      </c>
      <c r="Q22" s="122">
        <f>P22/3600/O22</f>
        <v>2.4691358024691357</v>
      </c>
      <c r="R22" s="119" t="str">
        <f t="shared" ref="R22:R58" si="18">IF(Q22&lt;10,"ok","não")</f>
        <v>ok</v>
      </c>
    </row>
    <row r="23" spans="1:18">
      <c r="A23" s="120">
        <v>22</v>
      </c>
      <c r="B23" s="120" t="s">
        <v>384</v>
      </c>
      <c r="C23" s="120">
        <v>1</v>
      </c>
      <c r="D23" s="121">
        <v>2</v>
      </c>
      <c r="E23" s="120" t="s">
        <v>376</v>
      </c>
      <c r="F23" s="120" t="s">
        <v>377</v>
      </c>
      <c r="G23" s="120"/>
      <c r="H23" s="120"/>
      <c r="I23" s="121">
        <f t="shared" si="16"/>
        <v>2</v>
      </c>
      <c r="J23" s="121">
        <f>IF(E23="Retangular - TDC",D23,0)*(2*L23+2*M23)*1.35</f>
        <v>0</v>
      </c>
      <c r="K23" s="122">
        <f t="shared" si="17"/>
        <v>0</v>
      </c>
      <c r="L23" s="120"/>
      <c r="M23" s="120"/>
      <c r="N23" s="123">
        <v>0.15</v>
      </c>
      <c r="O23" s="123">
        <f>MAX((L23*M23),(3.14159*(N23/2)^2))</f>
        <v>1.7671443749999998E-2</v>
      </c>
      <c r="P23" s="120">
        <v>200</v>
      </c>
      <c r="Q23" s="122">
        <f t="shared" ref="Q23:Q55" si="19">P23/3600/O23</f>
        <v>3.1438040004827315</v>
      </c>
      <c r="R23" s="119" t="str">
        <f t="shared" si="18"/>
        <v>ok</v>
      </c>
    </row>
    <row r="24" spans="1:18">
      <c r="A24" s="120">
        <v>23</v>
      </c>
      <c r="B24" s="120" t="s">
        <v>384</v>
      </c>
      <c r="C24" s="120">
        <v>1</v>
      </c>
      <c r="D24" s="121">
        <v>2</v>
      </c>
      <c r="E24" s="120" t="s">
        <v>376</v>
      </c>
      <c r="F24" s="120" t="s">
        <v>377</v>
      </c>
      <c r="G24" s="120"/>
      <c r="H24" s="120"/>
      <c r="I24" s="121">
        <f t="shared" si="16"/>
        <v>2</v>
      </c>
      <c r="J24" s="121">
        <f t="shared" ref="J24:J55" si="20">IF(E24="Retangular - TDC",D24,0)*(2*L24+2*M24)*1.35</f>
        <v>0</v>
      </c>
      <c r="K24" s="122">
        <f t="shared" si="17"/>
        <v>0</v>
      </c>
      <c r="L24" s="120"/>
      <c r="M24" s="120"/>
      <c r="N24" s="123">
        <v>0.15</v>
      </c>
      <c r="O24" s="123">
        <f t="shared" ref="O24:O55" si="21">MAX((L24*M24),(3.14159*(N24/2)^2))</f>
        <v>1.7671443749999998E-2</v>
      </c>
      <c r="P24" s="120">
        <v>200</v>
      </c>
      <c r="Q24" s="122">
        <f t="shared" si="19"/>
        <v>3.1438040004827315</v>
      </c>
      <c r="R24" s="119" t="str">
        <f t="shared" si="18"/>
        <v>ok</v>
      </c>
    </row>
    <row r="25" spans="1:18">
      <c r="A25" s="120">
        <v>24</v>
      </c>
      <c r="B25" s="120" t="s">
        <v>384</v>
      </c>
      <c r="C25" s="120">
        <v>1</v>
      </c>
      <c r="D25" s="121">
        <v>2</v>
      </c>
      <c r="E25" s="120" t="s">
        <v>376</v>
      </c>
      <c r="F25" s="120" t="s">
        <v>377</v>
      </c>
      <c r="G25" s="120"/>
      <c r="H25" s="120"/>
      <c r="I25" s="121">
        <f t="shared" si="16"/>
        <v>2</v>
      </c>
      <c r="J25" s="121">
        <f t="shared" si="20"/>
        <v>0</v>
      </c>
      <c r="K25" s="122">
        <f t="shared" si="17"/>
        <v>0</v>
      </c>
      <c r="L25" s="120"/>
      <c r="M25" s="120"/>
      <c r="N25" s="123">
        <v>0.15</v>
      </c>
      <c r="O25" s="123">
        <f t="shared" si="21"/>
        <v>1.7671443749999998E-2</v>
      </c>
      <c r="P25" s="120">
        <v>200</v>
      </c>
      <c r="Q25" s="122">
        <f t="shared" si="19"/>
        <v>3.1438040004827315</v>
      </c>
      <c r="R25" s="119" t="str">
        <f t="shared" si="18"/>
        <v>ok</v>
      </c>
    </row>
    <row r="26" spans="1:18">
      <c r="A26" s="120">
        <v>25</v>
      </c>
      <c r="B26" s="120" t="s">
        <v>384</v>
      </c>
      <c r="C26" s="120">
        <v>2</v>
      </c>
      <c r="D26" s="121">
        <v>1.8</v>
      </c>
      <c r="E26" s="120" t="s">
        <v>374</v>
      </c>
      <c r="F26" s="120" t="s">
        <v>375</v>
      </c>
      <c r="G26" s="120">
        <v>0.47499999999999998</v>
      </c>
      <c r="H26" s="120"/>
      <c r="I26" s="121">
        <f t="shared" si="16"/>
        <v>0</v>
      </c>
      <c r="J26" s="121">
        <f t="shared" si="20"/>
        <v>1.4580000000000002</v>
      </c>
      <c r="K26" s="122">
        <f t="shared" si="17"/>
        <v>5.2633800000000006</v>
      </c>
      <c r="L26" s="120">
        <v>0.15</v>
      </c>
      <c r="M26" s="120">
        <v>0.15</v>
      </c>
      <c r="N26" s="123"/>
      <c r="O26" s="123">
        <f t="shared" si="21"/>
        <v>2.2499999999999999E-2</v>
      </c>
      <c r="P26" s="120">
        <v>50</v>
      </c>
      <c r="Q26" s="122">
        <f t="shared" si="19"/>
        <v>0.61728395061728392</v>
      </c>
      <c r="R26" s="119" t="str">
        <f t="shared" si="18"/>
        <v>ok</v>
      </c>
    </row>
    <row r="27" spans="1:18">
      <c r="A27" s="120">
        <v>26</v>
      </c>
      <c r="B27" s="120" t="s">
        <v>384</v>
      </c>
      <c r="C27" s="120">
        <v>2</v>
      </c>
      <c r="D27" s="121">
        <v>2</v>
      </c>
      <c r="E27" s="120" t="s">
        <v>376</v>
      </c>
      <c r="F27" s="120" t="s">
        <v>377</v>
      </c>
      <c r="G27" s="120"/>
      <c r="H27" s="120"/>
      <c r="I27" s="121">
        <f t="shared" si="16"/>
        <v>2</v>
      </c>
      <c r="J27" s="121">
        <f t="shared" si="20"/>
        <v>0</v>
      </c>
      <c r="K27" s="122">
        <f t="shared" si="17"/>
        <v>0</v>
      </c>
      <c r="L27" s="120"/>
      <c r="M27" s="120"/>
      <c r="N27" s="123">
        <v>0.15</v>
      </c>
      <c r="O27" s="123">
        <f t="shared" si="21"/>
        <v>1.7671443749999998E-2</v>
      </c>
      <c r="P27" s="120">
        <v>200</v>
      </c>
      <c r="Q27" s="122">
        <f t="shared" si="19"/>
        <v>3.1438040004827315</v>
      </c>
      <c r="R27" s="119" t="str">
        <f t="shared" si="18"/>
        <v>ok</v>
      </c>
    </row>
    <row r="28" spans="1:18">
      <c r="A28" s="120">
        <v>27</v>
      </c>
      <c r="B28" s="120" t="s">
        <v>384</v>
      </c>
      <c r="C28" s="120">
        <v>3</v>
      </c>
      <c r="D28" s="121">
        <v>2</v>
      </c>
      <c r="E28" s="120" t="s">
        <v>374</v>
      </c>
      <c r="F28" s="120" t="s">
        <v>375</v>
      </c>
      <c r="G28" s="120">
        <v>0.47499999999999998</v>
      </c>
      <c r="H28" s="120"/>
      <c r="I28" s="121">
        <f t="shared" si="16"/>
        <v>0</v>
      </c>
      <c r="J28" s="121">
        <f t="shared" si="20"/>
        <v>1.62</v>
      </c>
      <c r="K28" s="122">
        <f t="shared" si="17"/>
        <v>5.8481999999999994</v>
      </c>
      <c r="L28" s="120">
        <v>0.15</v>
      </c>
      <c r="M28" s="120">
        <v>0.15</v>
      </c>
      <c r="N28" s="123"/>
      <c r="O28" s="123">
        <f t="shared" si="21"/>
        <v>2.2499999999999999E-2</v>
      </c>
      <c r="P28" s="120">
        <v>250</v>
      </c>
      <c r="Q28" s="122">
        <f t="shared" si="19"/>
        <v>3.0864197530864201</v>
      </c>
      <c r="R28" s="119" t="str">
        <f t="shared" si="18"/>
        <v>ok</v>
      </c>
    </row>
    <row r="29" spans="1:18">
      <c r="A29" s="120">
        <v>28</v>
      </c>
      <c r="B29" s="120" t="s">
        <v>384</v>
      </c>
      <c r="C29" s="120">
        <v>4</v>
      </c>
      <c r="D29" s="121">
        <v>6.5</v>
      </c>
      <c r="E29" s="120" t="s">
        <v>374</v>
      </c>
      <c r="F29" s="120" t="s">
        <v>375</v>
      </c>
      <c r="G29" s="120">
        <v>0.47499999999999998</v>
      </c>
      <c r="H29" s="120"/>
      <c r="I29" s="121">
        <f t="shared" si="16"/>
        <v>0</v>
      </c>
      <c r="J29" s="121">
        <f t="shared" si="20"/>
        <v>5.2650000000000006</v>
      </c>
      <c r="K29" s="122">
        <f t="shared" si="17"/>
        <v>19.00665</v>
      </c>
      <c r="L29" s="120">
        <v>0.15</v>
      </c>
      <c r="M29" s="120">
        <v>0.15</v>
      </c>
      <c r="N29" s="123"/>
      <c r="O29" s="123">
        <f t="shared" si="21"/>
        <v>2.2499999999999999E-2</v>
      </c>
      <c r="P29" s="120">
        <v>650</v>
      </c>
      <c r="Q29" s="122">
        <f t="shared" si="19"/>
        <v>8.0246913580246915</v>
      </c>
      <c r="R29" s="119" t="str">
        <f t="shared" si="18"/>
        <v>ok</v>
      </c>
    </row>
    <row r="30" spans="1:18">
      <c r="A30" s="120">
        <v>29</v>
      </c>
      <c r="B30" s="120" t="s">
        <v>384</v>
      </c>
      <c r="C30" s="120">
        <v>5</v>
      </c>
      <c r="D30" s="121">
        <v>1</v>
      </c>
      <c r="E30" s="120" t="s">
        <v>374</v>
      </c>
      <c r="F30" s="120" t="s">
        <v>375</v>
      </c>
      <c r="G30" s="120">
        <v>0.47499999999999998</v>
      </c>
      <c r="H30" s="120"/>
      <c r="I30" s="121">
        <f t="shared" si="16"/>
        <v>0</v>
      </c>
      <c r="J30" s="121">
        <f t="shared" si="20"/>
        <v>0.81</v>
      </c>
      <c r="K30" s="122">
        <f t="shared" si="17"/>
        <v>2.9240999999999997</v>
      </c>
      <c r="L30" s="120">
        <v>0.15</v>
      </c>
      <c r="M30" s="120">
        <v>0.15</v>
      </c>
      <c r="N30" s="123"/>
      <c r="O30" s="123">
        <f t="shared" si="21"/>
        <v>2.2499999999999999E-2</v>
      </c>
      <c r="P30" s="120">
        <v>200</v>
      </c>
      <c r="Q30" s="122">
        <f t="shared" si="19"/>
        <v>2.4691358024691357</v>
      </c>
      <c r="R30" s="119" t="str">
        <f t="shared" si="18"/>
        <v>ok</v>
      </c>
    </row>
    <row r="31" spans="1:18">
      <c r="A31" s="120">
        <v>30</v>
      </c>
      <c r="B31" s="120" t="s">
        <v>384</v>
      </c>
      <c r="C31" s="120">
        <v>5</v>
      </c>
      <c r="D31" s="121">
        <v>2</v>
      </c>
      <c r="E31" s="120" t="s">
        <v>376</v>
      </c>
      <c r="F31" s="120" t="s">
        <v>377</v>
      </c>
      <c r="G31" s="120"/>
      <c r="H31" s="120"/>
      <c r="I31" s="121">
        <f t="shared" si="16"/>
        <v>2</v>
      </c>
      <c r="J31" s="121">
        <f t="shared" si="20"/>
        <v>0</v>
      </c>
      <c r="K31" s="122">
        <f t="shared" si="17"/>
        <v>0</v>
      </c>
      <c r="L31" s="120"/>
      <c r="M31" s="120"/>
      <c r="N31" s="123">
        <v>0.15</v>
      </c>
      <c r="O31" s="123">
        <f t="shared" si="21"/>
        <v>1.7671443749999998E-2</v>
      </c>
      <c r="P31" s="120">
        <v>200</v>
      </c>
      <c r="Q31" s="122">
        <f t="shared" si="19"/>
        <v>3.1438040004827315</v>
      </c>
      <c r="R31" s="119" t="str">
        <f t="shared" si="18"/>
        <v>ok</v>
      </c>
    </row>
    <row r="32" spans="1:18">
      <c r="A32" s="120">
        <v>31</v>
      </c>
      <c r="B32" s="120" t="s">
        <v>384</v>
      </c>
      <c r="C32" s="120">
        <v>6</v>
      </c>
      <c r="D32" s="121">
        <v>1.2</v>
      </c>
      <c r="E32" s="120" t="s">
        <v>374</v>
      </c>
      <c r="F32" s="120" t="s">
        <v>375</v>
      </c>
      <c r="G32" s="120">
        <v>0.47499999999999998</v>
      </c>
      <c r="H32" s="120"/>
      <c r="I32" s="121">
        <f t="shared" si="16"/>
        <v>0</v>
      </c>
      <c r="J32" s="121">
        <f t="shared" si="20"/>
        <v>0.97199999999999998</v>
      </c>
      <c r="K32" s="122">
        <f t="shared" si="17"/>
        <v>3.5089199999999998</v>
      </c>
      <c r="L32" s="120">
        <v>0.15</v>
      </c>
      <c r="M32" s="120">
        <v>0.15</v>
      </c>
      <c r="N32" s="123"/>
      <c r="O32" s="123">
        <f t="shared" si="21"/>
        <v>2.2499999999999999E-2</v>
      </c>
      <c r="P32" s="120">
        <v>400</v>
      </c>
      <c r="Q32" s="122">
        <f t="shared" si="19"/>
        <v>4.9382716049382713</v>
      </c>
      <c r="R32" s="119" t="str">
        <f t="shared" si="18"/>
        <v>ok</v>
      </c>
    </row>
    <row r="33" spans="1:18">
      <c r="A33" s="120">
        <v>32</v>
      </c>
      <c r="B33" s="120" t="s">
        <v>384</v>
      </c>
      <c r="C33" s="120">
        <v>6</v>
      </c>
      <c r="D33" s="121">
        <v>2</v>
      </c>
      <c r="E33" s="120" t="s">
        <v>376</v>
      </c>
      <c r="F33" s="120" t="s">
        <v>377</v>
      </c>
      <c r="G33" s="120"/>
      <c r="H33" s="120"/>
      <c r="I33" s="121">
        <f t="shared" si="16"/>
        <v>2</v>
      </c>
      <c r="J33" s="121">
        <f t="shared" si="20"/>
        <v>0</v>
      </c>
      <c r="K33" s="122">
        <f t="shared" si="17"/>
        <v>0</v>
      </c>
      <c r="L33" s="120"/>
      <c r="M33" s="120"/>
      <c r="N33" s="123">
        <v>0.15</v>
      </c>
      <c r="O33" s="123">
        <f t="shared" si="21"/>
        <v>1.7671443749999998E-2</v>
      </c>
      <c r="P33" s="120">
        <v>200</v>
      </c>
      <c r="Q33" s="122">
        <f t="shared" si="19"/>
        <v>3.1438040004827315</v>
      </c>
      <c r="R33" s="119" t="str">
        <f t="shared" si="18"/>
        <v>ok</v>
      </c>
    </row>
    <row r="34" spans="1:18">
      <c r="A34" s="120">
        <v>33</v>
      </c>
      <c r="B34" s="120" t="s">
        <v>384</v>
      </c>
      <c r="C34" s="120">
        <v>7</v>
      </c>
      <c r="D34" s="121">
        <v>1.5</v>
      </c>
      <c r="E34" s="120" t="s">
        <v>374</v>
      </c>
      <c r="F34" s="120" t="s">
        <v>375</v>
      </c>
      <c r="G34" s="120">
        <v>0.47499999999999998</v>
      </c>
      <c r="H34" s="120"/>
      <c r="I34" s="121">
        <f t="shared" si="16"/>
        <v>0</v>
      </c>
      <c r="J34" s="121">
        <f t="shared" si="20"/>
        <v>1.2149999999999999</v>
      </c>
      <c r="K34" s="122">
        <f t="shared" si="17"/>
        <v>4.3861499999999989</v>
      </c>
      <c r="L34" s="120">
        <v>0.15</v>
      </c>
      <c r="M34" s="120">
        <v>0.15</v>
      </c>
      <c r="N34" s="123"/>
      <c r="O34" s="123">
        <f t="shared" si="21"/>
        <v>2.2499999999999999E-2</v>
      </c>
      <c r="P34" s="120">
        <v>600</v>
      </c>
      <c r="Q34" s="122">
        <f t="shared" si="19"/>
        <v>7.4074074074074074</v>
      </c>
      <c r="R34" s="119" t="str">
        <f t="shared" si="18"/>
        <v>ok</v>
      </c>
    </row>
    <row r="35" spans="1:18">
      <c r="A35" s="120">
        <v>34</v>
      </c>
      <c r="B35" s="120" t="s">
        <v>384</v>
      </c>
      <c r="C35" s="120">
        <v>7</v>
      </c>
      <c r="D35" s="121">
        <v>2</v>
      </c>
      <c r="E35" s="120" t="s">
        <v>376</v>
      </c>
      <c r="F35" s="120" t="s">
        <v>377</v>
      </c>
      <c r="G35" s="120"/>
      <c r="H35" s="120"/>
      <c r="I35" s="121">
        <f t="shared" si="16"/>
        <v>2</v>
      </c>
      <c r="J35" s="121">
        <f t="shared" si="20"/>
        <v>0</v>
      </c>
      <c r="K35" s="122">
        <f t="shared" si="17"/>
        <v>0</v>
      </c>
      <c r="L35" s="120"/>
      <c r="M35" s="120"/>
      <c r="N35" s="123">
        <v>0.15</v>
      </c>
      <c r="O35" s="123">
        <f t="shared" si="21"/>
        <v>1.7671443749999998E-2</v>
      </c>
      <c r="P35" s="120">
        <v>200</v>
      </c>
      <c r="Q35" s="122">
        <f t="shared" si="19"/>
        <v>3.1438040004827315</v>
      </c>
      <c r="R35" s="119" t="str">
        <f t="shared" si="18"/>
        <v>ok</v>
      </c>
    </row>
    <row r="36" spans="1:18">
      <c r="A36" s="120">
        <v>35</v>
      </c>
      <c r="B36" s="120" t="s">
        <v>384</v>
      </c>
      <c r="C36" s="120">
        <v>8</v>
      </c>
      <c r="D36" s="121">
        <v>2.5</v>
      </c>
      <c r="E36" s="120" t="s">
        <v>374</v>
      </c>
      <c r="F36" s="120" t="s">
        <v>375</v>
      </c>
      <c r="G36" s="120">
        <v>0.47499999999999998</v>
      </c>
      <c r="H36" s="120"/>
      <c r="I36" s="121">
        <f t="shared" si="16"/>
        <v>0</v>
      </c>
      <c r="J36" s="121">
        <f t="shared" si="20"/>
        <v>2.7</v>
      </c>
      <c r="K36" s="122">
        <f t="shared" si="17"/>
        <v>9.7469999999999999</v>
      </c>
      <c r="L36" s="120">
        <v>0.15</v>
      </c>
      <c r="M36" s="120">
        <v>0.25</v>
      </c>
      <c r="N36" s="123"/>
      <c r="O36" s="123">
        <f t="shared" si="21"/>
        <v>3.7499999999999999E-2</v>
      </c>
      <c r="P36" s="120">
        <v>1250</v>
      </c>
      <c r="Q36" s="122">
        <f t="shared" si="19"/>
        <v>9.2592592592592595</v>
      </c>
      <c r="R36" s="119" t="str">
        <f t="shared" si="18"/>
        <v>ok</v>
      </c>
    </row>
    <row r="37" spans="1:18">
      <c r="A37" s="120">
        <v>36</v>
      </c>
      <c r="B37" s="120" t="s">
        <v>384</v>
      </c>
      <c r="C37" s="120">
        <v>8</v>
      </c>
      <c r="D37" s="121">
        <v>2</v>
      </c>
      <c r="E37" s="120" t="s">
        <v>376</v>
      </c>
      <c r="F37" s="120" t="s">
        <v>377</v>
      </c>
      <c r="G37" s="120"/>
      <c r="H37" s="120"/>
      <c r="I37" s="121">
        <f t="shared" si="16"/>
        <v>2</v>
      </c>
      <c r="J37" s="121">
        <f t="shared" si="20"/>
        <v>0</v>
      </c>
      <c r="K37" s="122">
        <f t="shared" si="17"/>
        <v>0</v>
      </c>
      <c r="L37" s="120"/>
      <c r="M37" s="120"/>
      <c r="N37" s="123">
        <v>0.15</v>
      </c>
      <c r="O37" s="123">
        <f t="shared" si="21"/>
        <v>1.7671443749999998E-2</v>
      </c>
      <c r="P37" s="120">
        <v>200</v>
      </c>
      <c r="Q37" s="122">
        <f t="shared" si="19"/>
        <v>3.1438040004827315</v>
      </c>
      <c r="R37" s="119" t="str">
        <f t="shared" si="18"/>
        <v>ok</v>
      </c>
    </row>
    <row r="38" spans="1:18">
      <c r="A38" s="120">
        <v>37</v>
      </c>
      <c r="B38" s="120" t="s">
        <v>384</v>
      </c>
      <c r="C38" s="120">
        <v>9</v>
      </c>
      <c r="D38" s="121">
        <v>1</v>
      </c>
      <c r="E38" s="120" t="s">
        <v>374</v>
      </c>
      <c r="F38" s="120" t="s">
        <v>375</v>
      </c>
      <c r="G38" s="120">
        <v>0.47499999999999998</v>
      </c>
      <c r="H38" s="120"/>
      <c r="I38" s="121">
        <f t="shared" si="16"/>
        <v>0</v>
      </c>
      <c r="J38" s="121">
        <f t="shared" si="20"/>
        <v>0.81</v>
      </c>
      <c r="K38" s="122">
        <f t="shared" si="17"/>
        <v>2.9240999999999997</v>
      </c>
      <c r="L38" s="120">
        <v>0.15</v>
      </c>
      <c r="M38" s="120">
        <v>0.15</v>
      </c>
      <c r="N38" s="123"/>
      <c r="O38" s="123">
        <f t="shared" si="21"/>
        <v>2.2499999999999999E-2</v>
      </c>
      <c r="P38" s="120">
        <v>200</v>
      </c>
      <c r="Q38" s="122">
        <f t="shared" si="19"/>
        <v>2.4691358024691357</v>
      </c>
      <c r="R38" s="119" t="str">
        <f t="shared" si="18"/>
        <v>ok</v>
      </c>
    </row>
    <row r="39" spans="1:18">
      <c r="A39" s="120">
        <v>38</v>
      </c>
      <c r="B39" s="120" t="s">
        <v>384</v>
      </c>
      <c r="C39" s="120">
        <v>9</v>
      </c>
      <c r="D39" s="121">
        <v>2</v>
      </c>
      <c r="E39" s="120" t="s">
        <v>376</v>
      </c>
      <c r="F39" s="120" t="s">
        <v>377</v>
      </c>
      <c r="G39" s="120"/>
      <c r="H39" s="120"/>
      <c r="I39" s="121">
        <f t="shared" si="16"/>
        <v>2</v>
      </c>
      <c r="J39" s="121">
        <f t="shared" si="20"/>
        <v>0</v>
      </c>
      <c r="K39" s="122">
        <f t="shared" si="17"/>
        <v>0</v>
      </c>
      <c r="L39" s="120"/>
      <c r="M39" s="120"/>
      <c r="N39" s="123">
        <v>0.15</v>
      </c>
      <c r="O39" s="123">
        <f t="shared" si="21"/>
        <v>1.7671443749999998E-2</v>
      </c>
      <c r="P39" s="120">
        <v>200</v>
      </c>
      <c r="Q39" s="122">
        <f t="shared" si="19"/>
        <v>3.1438040004827315</v>
      </c>
      <c r="R39" s="119" t="str">
        <f t="shared" si="18"/>
        <v>ok</v>
      </c>
    </row>
    <row r="40" spans="1:18">
      <c r="A40" s="120">
        <v>39</v>
      </c>
      <c r="B40" s="120" t="s">
        <v>384</v>
      </c>
      <c r="C40" s="120">
        <v>10</v>
      </c>
      <c r="D40" s="121">
        <v>7.5</v>
      </c>
      <c r="E40" s="120" t="s">
        <v>374</v>
      </c>
      <c r="F40" s="120" t="s">
        <v>375</v>
      </c>
      <c r="G40" s="120">
        <v>0.47499999999999998</v>
      </c>
      <c r="H40" s="120"/>
      <c r="I40" s="121">
        <f t="shared" si="16"/>
        <v>0</v>
      </c>
      <c r="J40" s="121">
        <f t="shared" si="20"/>
        <v>10.125</v>
      </c>
      <c r="K40" s="122">
        <f t="shared" si="17"/>
        <v>36.551250000000003</v>
      </c>
      <c r="L40" s="120">
        <v>0.15</v>
      </c>
      <c r="M40" s="120">
        <v>0.35</v>
      </c>
      <c r="N40" s="123"/>
      <c r="O40" s="123">
        <f t="shared" si="21"/>
        <v>5.2499999999999998E-2</v>
      </c>
      <c r="P40" s="120">
        <v>1650</v>
      </c>
      <c r="Q40" s="122">
        <f t="shared" si="19"/>
        <v>8.7301587301587293</v>
      </c>
      <c r="R40" s="119" t="str">
        <f t="shared" si="18"/>
        <v>ok</v>
      </c>
    </row>
    <row r="41" spans="1:18">
      <c r="A41" s="120">
        <v>40</v>
      </c>
      <c r="B41" s="120" t="s">
        <v>384</v>
      </c>
      <c r="C41" s="120">
        <v>11</v>
      </c>
      <c r="D41" s="121">
        <v>1</v>
      </c>
      <c r="E41" s="120" t="s">
        <v>374</v>
      </c>
      <c r="F41" s="120" t="s">
        <v>375</v>
      </c>
      <c r="G41" s="120">
        <v>0.47499999999999998</v>
      </c>
      <c r="H41" s="120"/>
      <c r="I41" s="121">
        <f t="shared" si="16"/>
        <v>0</v>
      </c>
      <c r="J41" s="121">
        <f t="shared" si="20"/>
        <v>0.81</v>
      </c>
      <c r="K41" s="122">
        <f t="shared" si="17"/>
        <v>2.9240999999999997</v>
      </c>
      <c r="L41" s="120">
        <v>0.15</v>
      </c>
      <c r="M41" s="120">
        <v>0.15</v>
      </c>
      <c r="N41" s="123"/>
      <c r="O41" s="123">
        <f t="shared" si="21"/>
        <v>2.2499999999999999E-2</v>
      </c>
      <c r="P41" s="120">
        <v>200</v>
      </c>
      <c r="Q41" s="122">
        <f t="shared" si="19"/>
        <v>2.4691358024691357</v>
      </c>
      <c r="R41" s="119" t="str">
        <f t="shared" si="18"/>
        <v>ok</v>
      </c>
    </row>
    <row r="42" spans="1:18">
      <c r="A42" s="120">
        <v>41</v>
      </c>
      <c r="B42" s="120" t="s">
        <v>384</v>
      </c>
      <c r="C42" s="120">
        <v>11</v>
      </c>
      <c r="D42" s="121">
        <v>2</v>
      </c>
      <c r="E42" s="120" t="s">
        <v>376</v>
      </c>
      <c r="F42" s="120" t="s">
        <v>377</v>
      </c>
      <c r="G42" s="120"/>
      <c r="H42" s="120"/>
      <c r="I42" s="121">
        <f t="shared" si="16"/>
        <v>2</v>
      </c>
      <c r="J42" s="121">
        <f t="shared" si="20"/>
        <v>0</v>
      </c>
      <c r="K42" s="122">
        <f t="shared" si="17"/>
        <v>0</v>
      </c>
      <c r="L42" s="120"/>
      <c r="M42" s="120"/>
      <c r="N42" s="123">
        <v>0.15</v>
      </c>
      <c r="O42" s="123">
        <f t="shared" si="21"/>
        <v>1.7671443749999998E-2</v>
      </c>
      <c r="P42" s="120">
        <v>200</v>
      </c>
      <c r="Q42" s="122">
        <f t="shared" si="19"/>
        <v>3.1438040004827315</v>
      </c>
      <c r="R42" s="119" t="str">
        <f t="shared" si="18"/>
        <v>ok</v>
      </c>
    </row>
    <row r="43" spans="1:18">
      <c r="A43" s="120">
        <v>42</v>
      </c>
      <c r="B43" s="120" t="s">
        <v>384</v>
      </c>
      <c r="C43" s="120">
        <v>12</v>
      </c>
      <c r="D43" s="121">
        <v>4.5</v>
      </c>
      <c r="E43" s="120" t="s">
        <v>374</v>
      </c>
      <c r="F43" s="120" t="s">
        <v>375</v>
      </c>
      <c r="G43" s="120">
        <v>0.47499999999999998</v>
      </c>
      <c r="H43" s="120"/>
      <c r="I43" s="121">
        <f t="shared" si="16"/>
        <v>0</v>
      </c>
      <c r="J43" s="121">
        <f t="shared" si="20"/>
        <v>3.645</v>
      </c>
      <c r="K43" s="122">
        <f t="shared" si="17"/>
        <v>13.158449999999998</v>
      </c>
      <c r="L43" s="120">
        <v>0.15</v>
      </c>
      <c r="M43" s="120">
        <v>0.15</v>
      </c>
      <c r="N43" s="123"/>
      <c r="O43" s="123">
        <f t="shared" si="21"/>
        <v>2.2499999999999999E-2</v>
      </c>
      <c r="P43" s="120">
        <v>200</v>
      </c>
      <c r="Q43" s="122">
        <f t="shared" si="19"/>
        <v>2.4691358024691357</v>
      </c>
      <c r="R43" s="119" t="str">
        <f t="shared" si="18"/>
        <v>ok</v>
      </c>
    </row>
    <row r="44" spans="1:18">
      <c r="A44" s="120">
        <v>43</v>
      </c>
      <c r="B44" s="120" t="s">
        <v>384</v>
      </c>
      <c r="C44" s="120">
        <v>12</v>
      </c>
      <c r="D44" s="121">
        <v>2</v>
      </c>
      <c r="E44" s="120" t="s">
        <v>376</v>
      </c>
      <c r="F44" s="120" t="s">
        <v>377</v>
      </c>
      <c r="G44" s="120"/>
      <c r="H44" s="120"/>
      <c r="I44" s="121">
        <f t="shared" si="16"/>
        <v>2</v>
      </c>
      <c r="J44" s="121">
        <f t="shared" si="20"/>
        <v>0</v>
      </c>
      <c r="K44" s="122">
        <f t="shared" si="17"/>
        <v>0</v>
      </c>
      <c r="L44" s="120"/>
      <c r="M44" s="120"/>
      <c r="N44" s="123">
        <v>0.15</v>
      </c>
      <c r="O44" s="123">
        <f t="shared" si="21"/>
        <v>1.7671443749999998E-2</v>
      </c>
      <c r="P44" s="120">
        <v>200</v>
      </c>
      <c r="Q44" s="122">
        <f t="shared" si="19"/>
        <v>3.1438040004827315</v>
      </c>
      <c r="R44" s="119" t="str">
        <f t="shared" si="18"/>
        <v>ok</v>
      </c>
    </row>
    <row r="45" spans="1:18">
      <c r="A45" s="120">
        <v>44</v>
      </c>
      <c r="B45" s="120" t="s">
        <v>384</v>
      </c>
      <c r="C45" s="120">
        <v>13</v>
      </c>
      <c r="D45" s="121"/>
      <c r="E45" s="120" t="s">
        <v>374</v>
      </c>
      <c r="F45" s="120" t="s">
        <v>375</v>
      </c>
      <c r="G45" s="120">
        <v>0.47499999999999998</v>
      </c>
      <c r="H45" s="120"/>
      <c r="I45" s="121">
        <f t="shared" si="16"/>
        <v>0</v>
      </c>
      <c r="J45" s="121">
        <f t="shared" si="20"/>
        <v>0</v>
      </c>
      <c r="K45" s="122">
        <f t="shared" si="17"/>
        <v>0</v>
      </c>
      <c r="L45" s="120">
        <v>0.15</v>
      </c>
      <c r="M45" s="120">
        <v>0.45</v>
      </c>
      <c r="N45" s="123"/>
      <c r="O45" s="123">
        <f t="shared" si="21"/>
        <v>6.7500000000000004E-2</v>
      </c>
      <c r="P45" s="120">
        <v>2250</v>
      </c>
      <c r="Q45" s="122">
        <f t="shared" si="19"/>
        <v>9.2592592592592595</v>
      </c>
      <c r="R45" s="119" t="str">
        <f t="shared" si="18"/>
        <v>ok</v>
      </c>
    </row>
    <row r="46" spans="1:18">
      <c r="A46" s="120">
        <v>45</v>
      </c>
      <c r="B46" s="120" t="s">
        <v>384</v>
      </c>
      <c r="C46" s="120">
        <v>13</v>
      </c>
      <c r="D46" s="121">
        <v>2</v>
      </c>
      <c r="E46" s="120" t="s">
        <v>376</v>
      </c>
      <c r="F46" s="120" t="s">
        <v>377</v>
      </c>
      <c r="G46" s="120"/>
      <c r="H46" s="120"/>
      <c r="I46" s="121">
        <f t="shared" si="16"/>
        <v>2</v>
      </c>
      <c r="J46" s="121">
        <f t="shared" si="20"/>
        <v>0</v>
      </c>
      <c r="K46" s="122">
        <f t="shared" si="17"/>
        <v>0</v>
      </c>
      <c r="L46" s="120"/>
      <c r="M46" s="120"/>
      <c r="N46" s="123">
        <v>0.15</v>
      </c>
      <c r="O46" s="123">
        <f t="shared" si="21"/>
        <v>1.7671443749999998E-2</v>
      </c>
      <c r="P46" s="120">
        <v>200</v>
      </c>
      <c r="Q46" s="122">
        <f t="shared" si="19"/>
        <v>3.1438040004827315</v>
      </c>
      <c r="R46" s="119" t="str">
        <f t="shared" si="18"/>
        <v>ok</v>
      </c>
    </row>
    <row r="47" spans="1:18">
      <c r="A47" s="120">
        <v>46</v>
      </c>
      <c r="B47" s="120" t="s">
        <v>384</v>
      </c>
      <c r="C47" s="120">
        <v>14</v>
      </c>
      <c r="D47" s="121"/>
      <c r="E47" s="120" t="s">
        <v>374</v>
      </c>
      <c r="F47" s="120" t="s">
        <v>375</v>
      </c>
      <c r="G47" s="120">
        <v>0.47499999999999998</v>
      </c>
      <c r="H47" s="120"/>
      <c r="I47" s="121">
        <f t="shared" si="16"/>
        <v>0</v>
      </c>
      <c r="J47" s="121">
        <f t="shared" si="20"/>
        <v>0</v>
      </c>
      <c r="K47" s="122">
        <f t="shared" si="17"/>
        <v>0</v>
      </c>
      <c r="L47" s="120">
        <v>0.15</v>
      </c>
      <c r="M47" s="120">
        <v>0.15</v>
      </c>
      <c r="N47" s="123"/>
      <c r="O47" s="123">
        <f t="shared" si="21"/>
        <v>2.2499999999999999E-2</v>
      </c>
      <c r="P47" s="120">
        <v>50</v>
      </c>
      <c r="Q47" s="122">
        <f t="shared" si="19"/>
        <v>0.61728395061728392</v>
      </c>
      <c r="R47" s="119" t="str">
        <f t="shared" si="18"/>
        <v>ok</v>
      </c>
    </row>
    <row r="48" spans="1:18">
      <c r="A48" s="120">
        <v>47</v>
      </c>
      <c r="B48" s="120" t="s">
        <v>384</v>
      </c>
      <c r="C48" s="120">
        <v>14</v>
      </c>
      <c r="D48" s="121">
        <v>2</v>
      </c>
      <c r="E48" s="120" t="s">
        <v>376</v>
      </c>
      <c r="F48" s="120" t="s">
        <v>377</v>
      </c>
      <c r="G48" s="120"/>
      <c r="H48" s="120"/>
      <c r="I48" s="121">
        <f t="shared" si="16"/>
        <v>2</v>
      </c>
      <c r="J48" s="121">
        <f t="shared" si="20"/>
        <v>0</v>
      </c>
      <c r="K48" s="122">
        <f t="shared" si="17"/>
        <v>0</v>
      </c>
      <c r="L48" s="120"/>
      <c r="M48" s="120"/>
      <c r="N48" s="123">
        <v>0.15</v>
      </c>
      <c r="O48" s="123">
        <f t="shared" si="21"/>
        <v>1.7671443749999998E-2</v>
      </c>
      <c r="P48" s="120">
        <v>50</v>
      </c>
      <c r="Q48" s="122">
        <f t="shared" si="19"/>
        <v>0.78595100012068286</v>
      </c>
      <c r="R48" s="119" t="str">
        <f t="shared" si="18"/>
        <v>ok</v>
      </c>
    </row>
    <row r="49" spans="1:18">
      <c r="A49" s="120">
        <v>48</v>
      </c>
      <c r="B49" s="120" t="s">
        <v>384</v>
      </c>
      <c r="C49" s="120">
        <v>15</v>
      </c>
      <c r="D49" s="121"/>
      <c r="E49" s="120" t="s">
        <v>374</v>
      </c>
      <c r="F49" s="120" t="s">
        <v>375</v>
      </c>
      <c r="G49" s="120">
        <v>0.47499999999999998</v>
      </c>
      <c r="H49" s="120"/>
      <c r="I49" s="121">
        <f t="shared" si="16"/>
        <v>0</v>
      </c>
      <c r="J49" s="121">
        <f t="shared" si="20"/>
        <v>0</v>
      </c>
      <c r="K49" s="122">
        <f t="shared" si="17"/>
        <v>0</v>
      </c>
      <c r="L49" s="120">
        <v>0.15</v>
      </c>
      <c r="M49" s="120">
        <v>0.15</v>
      </c>
      <c r="N49" s="123"/>
      <c r="O49" s="123">
        <f t="shared" si="21"/>
        <v>2.2499999999999999E-2</v>
      </c>
      <c r="P49" s="120">
        <v>100</v>
      </c>
      <c r="Q49" s="122">
        <f t="shared" si="19"/>
        <v>1.2345679012345678</v>
      </c>
      <c r="R49" s="119" t="str">
        <f t="shared" si="18"/>
        <v>ok</v>
      </c>
    </row>
    <row r="50" spans="1:18">
      <c r="A50" s="120">
        <v>49</v>
      </c>
      <c r="B50" s="120" t="s">
        <v>384</v>
      </c>
      <c r="C50" s="120">
        <v>15</v>
      </c>
      <c r="D50" s="121">
        <v>2</v>
      </c>
      <c r="E50" s="120" t="s">
        <v>376</v>
      </c>
      <c r="F50" s="120" t="s">
        <v>377</v>
      </c>
      <c r="G50" s="120"/>
      <c r="H50" s="120"/>
      <c r="I50" s="121">
        <f t="shared" si="16"/>
        <v>2</v>
      </c>
      <c r="J50" s="121">
        <f t="shared" si="20"/>
        <v>0</v>
      </c>
      <c r="K50" s="122">
        <f t="shared" si="17"/>
        <v>0</v>
      </c>
      <c r="L50" s="120"/>
      <c r="M50" s="120"/>
      <c r="N50" s="123">
        <v>0.15</v>
      </c>
      <c r="O50" s="123">
        <f t="shared" si="21"/>
        <v>1.7671443749999998E-2</v>
      </c>
      <c r="P50" s="120">
        <v>50</v>
      </c>
      <c r="Q50" s="122">
        <f t="shared" si="19"/>
        <v>0.78595100012068286</v>
      </c>
      <c r="R50" s="119" t="str">
        <f t="shared" si="18"/>
        <v>ok</v>
      </c>
    </row>
    <row r="51" spans="1:18">
      <c r="A51" s="120">
        <v>50</v>
      </c>
      <c r="B51" s="120" t="s">
        <v>384</v>
      </c>
      <c r="C51" s="120">
        <v>16</v>
      </c>
      <c r="D51" s="121"/>
      <c r="E51" s="120" t="s">
        <v>374</v>
      </c>
      <c r="F51" s="120" t="s">
        <v>375</v>
      </c>
      <c r="G51" s="120">
        <v>0.47499999999999998</v>
      </c>
      <c r="H51" s="120"/>
      <c r="I51" s="121">
        <f t="shared" si="16"/>
        <v>0</v>
      </c>
      <c r="J51" s="121">
        <f t="shared" si="20"/>
        <v>0</v>
      </c>
      <c r="K51" s="122">
        <f t="shared" si="17"/>
        <v>0</v>
      </c>
      <c r="L51" s="120">
        <v>0.15</v>
      </c>
      <c r="M51" s="120">
        <v>0.45</v>
      </c>
      <c r="N51" s="123"/>
      <c r="O51" s="123">
        <f t="shared" si="21"/>
        <v>6.7500000000000004E-2</v>
      </c>
      <c r="P51" s="120">
        <v>2350</v>
      </c>
      <c r="Q51" s="122">
        <f t="shared" si="19"/>
        <v>9.6707818930041149</v>
      </c>
      <c r="R51" s="119" t="str">
        <f t="shared" si="18"/>
        <v>ok</v>
      </c>
    </row>
    <row r="52" spans="1:18">
      <c r="A52" s="120">
        <v>51</v>
      </c>
      <c r="B52" s="120" t="s">
        <v>384</v>
      </c>
      <c r="C52" s="120">
        <v>16</v>
      </c>
      <c r="D52" s="121">
        <v>2</v>
      </c>
      <c r="E52" s="120" t="s">
        <v>376</v>
      </c>
      <c r="F52" s="120" t="s">
        <v>377</v>
      </c>
      <c r="G52" s="120"/>
      <c r="H52" s="120"/>
      <c r="I52" s="121">
        <f t="shared" si="16"/>
        <v>2</v>
      </c>
      <c r="J52" s="121">
        <f t="shared" si="20"/>
        <v>0</v>
      </c>
      <c r="K52" s="122">
        <f t="shared" si="17"/>
        <v>0</v>
      </c>
      <c r="L52" s="120"/>
      <c r="M52" s="120"/>
      <c r="N52" s="123">
        <v>0.15</v>
      </c>
      <c r="O52" s="123">
        <f t="shared" si="21"/>
        <v>1.7671443749999998E-2</v>
      </c>
      <c r="P52" s="120">
        <v>200</v>
      </c>
      <c r="Q52" s="122">
        <f t="shared" si="19"/>
        <v>3.1438040004827315</v>
      </c>
      <c r="R52" s="119" t="str">
        <f t="shared" si="18"/>
        <v>ok</v>
      </c>
    </row>
    <row r="53" spans="1:18">
      <c r="A53" s="120">
        <v>52</v>
      </c>
      <c r="B53" s="120" t="s">
        <v>384</v>
      </c>
      <c r="C53" s="120">
        <v>17</v>
      </c>
      <c r="D53" s="121"/>
      <c r="E53" s="120" t="s">
        <v>374</v>
      </c>
      <c r="F53" s="120" t="s">
        <v>375</v>
      </c>
      <c r="G53" s="120">
        <v>0.47499999999999998</v>
      </c>
      <c r="H53" s="120"/>
      <c r="I53" s="121">
        <f t="shared" si="16"/>
        <v>0</v>
      </c>
      <c r="J53" s="121">
        <f t="shared" si="20"/>
        <v>0</v>
      </c>
      <c r="K53" s="122">
        <f t="shared" si="17"/>
        <v>0</v>
      </c>
      <c r="L53" s="120">
        <v>0.15</v>
      </c>
      <c r="M53" s="120">
        <v>0.5</v>
      </c>
      <c r="N53" s="123"/>
      <c r="O53" s="123">
        <f t="shared" si="21"/>
        <v>7.4999999999999997E-2</v>
      </c>
      <c r="P53" s="120">
        <v>2550</v>
      </c>
      <c r="Q53" s="122">
        <f t="shared" si="19"/>
        <v>9.4444444444444446</v>
      </c>
      <c r="R53" s="119" t="str">
        <f t="shared" si="18"/>
        <v>ok</v>
      </c>
    </row>
    <row r="54" spans="1:18">
      <c r="A54" s="120">
        <v>53</v>
      </c>
      <c r="B54" s="120" t="s">
        <v>384</v>
      </c>
      <c r="C54" s="120">
        <v>17</v>
      </c>
      <c r="D54" s="121">
        <v>2</v>
      </c>
      <c r="E54" s="120" t="s">
        <v>376</v>
      </c>
      <c r="F54" s="120" t="s">
        <v>377</v>
      </c>
      <c r="G54" s="120"/>
      <c r="H54" s="120"/>
      <c r="I54" s="121">
        <f t="shared" si="16"/>
        <v>2</v>
      </c>
      <c r="J54" s="121">
        <f t="shared" si="20"/>
        <v>0</v>
      </c>
      <c r="K54" s="122">
        <f t="shared" si="17"/>
        <v>0</v>
      </c>
      <c r="L54" s="120"/>
      <c r="M54" s="120"/>
      <c r="N54" s="123">
        <v>0.15</v>
      </c>
      <c r="O54" s="123">
        <f t="shared" si="21"/>
        <v>1.7671443749999998E-2</v>
      </c>
      <c r="P54" s="120">
        <v>200</v>
      </c>
      <c r="Q54" s="122">
        <f t="shared" si="19"/>
        <v>3.1438040004827315</v>
      </c>
      <c r="R54" s="119" t="str">
        <f t="shared" si="18"/>
        <v>ok</v>
      </c>
    </row>
    <row r="55" spans="1:18">
      <c r="A55" s="120">
        <v>54</v>
      </c>
      <c r="B55" s="120" t="s">
        <v>384</v>
      </c>
      <c r="C55" s="120">
        <v>18</v>
      </c>
      <c r="D55" s="121">
        <v>5.9</v>
      </c>
      <c r="E55" s="120" t="s">
        <v>374</v>
      </c>
      <c r="F55" s="120" t="s">
        <v>375</v>
      </c>
      <c r="G55" s="120">
        <v>0.47499999999999998</v>
      </c>
      <c r="H55" s="120"/>
      <c r="I55" s="121">
        <f t="shared" si="16"/>
        <v>0</v>
      </c>
      <c r="J55" s="121">
        <f t="shared" si="20"/>
        <v>11.151000000000003</v>
      </c>
      <c r="K55" s="122">
        <f t="shared" si="17"/>
        <v>40.255110000000009</v>
      </c>
      <c r="L55" s="120">
        <v>0.15</v>
      </c>
      <c r="M55" s="120">
        <v>0.55000000000000004</v>
      </c>
      <c r="N55" s="123"/>
      <c r="O55" s="123">
        <f t="shared" si="21"/>
        <v>8.2500000000000004E-2</v>
      </c>
      <c r="P55" s="120">
        <v>2750</v>
      </c>
      <c r="Q55" s="122">
        <f t="shared" si="19"/>
        <v>9.2592592592592577</v>
      </c>
      <c r="R55" s="119" t="str">
        <f t="shared" si="18"/>
        <v>ok</v>
      </c>
    </row>
    <row r="56" spans="1:18">
      <c r="A56" s="120">
        <v>55</v>
      </c>
      <c r="B56" s="120" t="s">
        <v>384</v>
      </c>
      <c r="C56" s="120">
        <v>18</v>
      </c>
      <c r="D56" s="121"/>
      <c r="E56" s="120"/>
      <c r="F56" s="120"/>
      <c r="G56" s="120"/>
      <c r="H56" s="120"/>
      <c r="I56" s="121"/>
      <c r="J56" s="121"/>
      <c r="K56" s="122"/>
      <c r="L56" s="120"/>
      <c r="M56" s="120"/>
      <c r="N56" s="123"/>
      <c r="O56" s="123"/>
      <c r="P56" s="120"/>
      <c r="Q56" s="122"/>
    </row>
    <row r="57" spans="1:18" ht="91.5">
      <c r="A57" s="120">
        <v>56</v>
      </c>
      <c r="B57" s="120" t="s">
        <v>384</v>
      </c>
      <c r="C57" s="120" t="s">
        <v>380</v>
      </c>
      <c r="D57" s="121"/>
      <c r="E57" s="120" t="s">
        <v>381</v>
      </c>
      <c r="F57" s="120" t="s">
        <v>375</v>
      </c>
      <c r="G57" s="120"/>
      <c r="H57" s="120">
        <v>16</v>
      </c>
      <c r="I57" s="121"/>
      <c r="J57" s="121"/>
      <c r="K57" s="122"/>
      <c r="L57" s="120"/>
      <c r="M57" s="120"/>
      <c r="N57" s="123"/>
      <c r="O57" s="123"/>
      <c r="P57" s="120"/>
      <c r="Q57" s="122"/>
    </row>
    <row r="58" spans="1:18" ht="30.75">
      <c r="A58" s="120">
        <v>57</v>
      </c>
      <c r="B58" s="120" t="s">
        <v>384</v>
      </c>
      <c r="C58" s="120" t="s">
        <v>380</v>
      </c>
      <c r="D58" s="121"/>
      <c r="E58" s="120" t="s">
        <v>382</v>
      </c>
      <c r="F58" s="120" t="s">
        <v>375</v>
      </c>
      <c r="G58" s="120"/>
      <c r="H58" s="120">
        <v>16</v>
      </c>
      <c r="I58" s="121"/>
      <c r="J58" s="121"/>
      <c r="K58" s="122"/>
      <c r="L58" s="120"/>
      <c r="M58" s="120"/>
      <c r="N58" s="123"/>
      <c r="O58" s="123"/>
      <c r="P58" s="120"/>
      <c r="Q58" s="122"/>
    </row>
    <row r="61" spans="1:18" ht="29.25">
      <c r="A61" s="118" t="s">
        <v>1</v>
      </c>
      <c r="B61" s="118" t="s">
        <v>8</v>
      </c>
      <c r="C61" s="118" t="s">
        <v>359</v>
      </c>
      <c r="D61" s="118" t="s">
        <v>360</v>
      </c>
      <c r="E61" s="118" t="s">
        <v>361</v>
      </c>
      <c r="F61" s="118" t="s">
        <v>362</v>
      </c>
      <c r="G61" s="118" t="s">
        <v>363</v>
      </c>
      <c r="H61" s="118" t="s">
        <v>364</v>
      </c>
      <c r="I61" s="118" t="s">
        <v>202</v>
      </c>
      <c r="J61" s="118" t="s">
        <v>365</v>
      </c>
      <c r="K61" s="118" t="s">
        <v>366</v>
      </c>
      <c r="L61" s="118" t="s">
        <v>367</v>
      </c>
      <c r="M61" s="118" t="s">
        <v>368</v>
      </c>
      <c r="N61" s="118" t="s">
        <v>369</v>
      </c>
      <c r="O61" s="118" t="s">
        <v>370</v>
      </c>
      <c r="P61" s="118" t="s">
        <v>371</v>
      </c>
      <c r="Q61" s="118" t="s">
        <v>372</v>
      </c>
    </row>
    <row r="62" spans="1:18">
      <c r="A62" s="120">
        <v>1</v>
      </c>
      <c r="B62" s="120" t="s">
        <v>379</v>
      </c>
      <c r="C62" s="120">
        <v>1</v>
      </c>
      <c r="D62" s="121">
        <v>5.9</v>
      </c>
      <c r="E62" s="120" t="s">
        <v>374</v>
      </c>
      <c r="F62" s="120" t="s">
        <v>375</v>
      </c>
      <c r="G62" s="120">
        <v>0.47499999999999998</v>
      </c>
      <c r="H62" s="120"/>
      <c r="I62" s="121">
        <f t="shared" ref="I62:I114" si="22">IF(E62="Flexível - Circular",D62,0)</f>
        <v>0</v>
      </c>
      <c r="J62" s="121">
        <f>IF(E62="Retangular - TDC",D62,0)*(2*L62+2*M62)*1.35</f>
        <v>4.7790000000000008</v>
      </c>
      <c r="K62" s="122">
        <f t="shared" ref="K62:K114" si="23">J62*G62*7600/1000</f>
        <v>17.252190000000002</v>
      </c>
      <c r="L62" s="120">
        <v>0.15</v>
      </c>
      <c r="M62" s="120">
        <v>0.15</v>
      </c>
      <c r="N62" s="123"/>
      <c r="O62" s="123">
        <f>MAX((L62*M62),(3.14159*(N62/2)^2))</f>
        <v>2.2499999999999999E-2</v>
      </c>
      <c r="P62" s="120">
        <v>500</v>
      </c>
      <c r="Q62" s="122">
        <f>P62/3600/O62</f>
        <v>6.1728395061728403</v>
      </c>
      <c r="R62" s="119" t="str">
        <f t="shared" ref="R62:R126" si="24">IF(Q62&lt;10,"ok","não")</f>
        <v>ok</v>
      </c>
    </row>
    <row r="63" spans="1:18">
      <c r="A63" s="120">
        <v>2</v>
      </c>
      <c r="B63" s="120" t="s">
        <v>379</v>
      </c>
      <c r="C63" s="120">
        <v>1</v>
      </c>
      <c r="D63" s="121">
        <v>2</v>
      </c>
      <c r="E63" s="120" t="s">
        <v>376</v>
      </c>
      <c r="F63" s="120" t="s">
        <v>377</v>
      </c>
      <c r="G63" s="120"/>
      <c r="H63" s="120"/>
      <c r="I63" s="121">
        <f t="shared" si="22"/>
        <v>2</v>
      </c>
      <c r="J63" s="121">
        <f>IF(E63="Retangular - TDC",D63,0)*(2*L63+2*M63)*1.35</f>
        <v>0</v>
      </c>
      <c r="K63" s="122">
        <f t="shared" si="23"/>
        <v>0</v>
      </c>
      <c r="L63" s="120"/>
      <c r="M63" s="120"/>
      <c r="N63" s="123">
        <v>0.15</v>
      </c>
      <c r="O63" s="123">
        <f>MAX((L63*M63),(3.14159*(N63/2)^2))</f>
        <v>1.7671443749999998E-2</v>
      </c>
      <c r="P63" s="120">
        <v>500</v>
      </c>
      <c r="Q63" s="122">
        <f t="shared" ref="Q63:Q77" si="25">P63/3600/O63</f>
        <v>7.8595100012068286</v>
      </c>
      <c r="R63" s="119" t="str">
        <f t="shared" si="24"/>
        <v>ok</v>
      </c>
    </row>
    <row r="64" spans="1:18">
      <c r="A64" s="120">
        <v>3</v>
      </c>
      <c r="B64" s="120" t="s">
        <v>379</v>
      </c>
      <c r="C64" s="120">
        <v>2</v>
      </c>
      <c r="D64" s="121">
        <v>5.9</v>
      </c>
      <c r="E64" s="120" t="s">
        <v>374</v>
      </c>
      <c r="F64" s="120" t="s">
        <v>375</v>
      </c>
      <c r="G64" s="120">
        <v>0.47499999999999998</v>
      </c>
      <c r="H64" s="120"/>
      <c r="I64" s="121">
        <f t="shared" si="22"/>
        <v>0</v>
      </c>
      <c r="J64" s="121">
        <f t="shared" ref="J64:J68" si="26">IF(E64="Retangular - TDC",D64,0)*(2*L64+2*M64)*1.35</f>
        <v>5.5754999999999999</v>
      </c>
      <c r="K64" s="122">
        <f t="shared" si="23"/>
        <v>20.127554999999997</v>
      </c>
      <c r="L64" s="120">
        <v>0.15</v>
      </c>
      <c r="M64" s="120">
        <v>0.2</v>
      </c>
      <c r="N64" s="123"/>
      <c r="O64" s="123">
        <f t="shared" ref="O64:O68" si="27">MAX((L64*M64),(3.14159*(N64/2)^2))</f>
        <v>0.03</v>
      </c>
      <c r="P64" s="120">
        <v>1000</v>
      </c>
      <c r="Q64" s="122">
        <f t="shared" si="25"/>
        <v>9.2592592592592595</v>
      </c>
      <c r="R64" s="119" t="str">
        <f t="shared" si="24"/>
        <v>ok</v>
      </c>
    </row>
    <row r="65" spans="1:18">
      <c r="A65" s="120">
        <v>4</v>
      </c>
      <c r="B65" s="120" t="s">
        <v>379</v>
      </c>
      <c r="C65" s="120">
        <v>2</v>
      </c>
      <c r="D65" s="121">
        <v>2</v>
      </c>
      <c r="E65" s="120" t="s">
        <v>376</v>
      </c>
      <c r="F65" s="120" t="s">
        <v>377</v>
      </c>
      <c r="G65" s="120"/>
      <c r="H65" s="120"/>
      <c r="I65" s="121">
        <f t="shared" si="22"/>
        <v>2</v>
      </c>
      <c r="J65" s="121">
        <f>IF(E65="Retangular - TDC",D65,0)*(2*L65+2*M65)*1.35</f>
        <v>0</v>
      </c>
      <c r="K65" s="122">
        <f t="shared" si="23"/>
        <v>0</v>
      </c>
      <c r="L65" s="120"/>
      <c r="M65" s="120"/>
      <c r="N65" s="123">
        <v>0.15</v>
      </c>
      <c r="O65" s="123">
        <f>MAX((L65*M65),(3.14159*(N65/2)^2))</f>
        <v>1.7671443749999998E-2</v>
      </c>
      <c r="P65" s="120">
        <v>500</v>
      </c>
      <c r="Q65" s="122">
        <f t="shared" si="25"/>
        <v>7.8595100012068286</v>
      </c>
      <c r="R65" s="119" t="str">
        <f t="shared" si="24"/>
        <v>ok</v>
      </c>
    </row>
    <row r="66" spans="1:18">
      <c r="A66" s="120">
        <v>5</v>
      </c>
      <c r="B66" s="120" t="s">
        <v>379</v>
      </c>
      <c r="C66" s="120">
        <v>3</v>
      </c>
      <c r="D66" s="121">
        <v>5.9</v>
      </c>
      <c r="E66" s="120" t="s">
        <v>374</v>
      </c>
      <c r="F66" s="120" t="s">
        <v>375</v>
      </c>
      <c r="G66" s="120">
        <v>0.47499999999999998</v>
      </c>
      <c r="H66" s="120"/>
      <c r="I66" s="121">
        <f t="shared" si="22"/>
        <v>0</v>
      </c>
      <c r="J66" s="121">
        <f t="shared" si="26"/>
        <v>7.1684999999999999</v>
      </c>
      <c r="K66" s="122">
        <f t="shared" si="23"/>
        <v>25.878284999999995</v>
      </c>
      <c r="L66" s="120">
        <v>0.15</v>
      </c>
      <c r="M66" s="120">
        <v>0.3</v>
      </c>
      <c r="N66" s="123"/>
      <c r="O66" s="123">
        <f t="shared" si="27"/>
        <v>4.4999999999999998E-2</v>
      </c>
      <c r="P66" s="120">
        <v>1500</v>
      </c>
      <c r="Q66" s="122">
        <f t="shared" si="25"/>
        <v>9.2592592592592595</v>
      </c>
      <c r="R66" s="119" t="str">
        <f t="shared" si="24"/>
        <v>ok</v>
      </c>
    </row>
    <row r="67" spans="1:18">
      <c r="A67" s="120">
        <v>6</v>
      </c>
      <c r="B67" s="120" t="s">
        <v>379</v>
      </c>
      <c r="C67" s="120">
        <v>3</v>
      </c>
      <c r="D67" s="121">
        <v>2</v>
      </c>
      <c r="E67" s="120" t="s">
        <v>376</v>
      </c>
      <c r="F67" s="120" t="s">
        <v>377</v>
      </c>
      <c r="G67" s="120"/>
      <c r="H67" s="120"/>
      <c r="I67" s="121">
        <f t="shared" si="22"/>
        <v>2</v>
      </c>
      <c r="J67" s="121">
        <f>IF(E67="Retangular - TDC",D67,0)*(2*L67+2*M67)*1.35</f>
        <v>0</v>
      </c>
      <c r="K67" s="122">
        <f t="shared" si="23"/>
        <v>0</v>
      </c>
      <c r="L67" s="120"/>
      <c r="M67" s="120"/>
      <c r="N67" s="123">
        <v>0.15</v>
      </c>
      <c r="O67" s="123">
        <f>MAX((L67*M67),(3.14159*(N67/2)^2))</f>
        <v>1.7671443749999998E-2</v>
      </c>
      <c r="P67" s="120">
        <v>500</v>
      </c>
      <c r="Q67" s="122">
        <f t="shared" si="25"/>
        <v>7.8595100012068286</v>
      </c>
      <c r="R67" s="119" t="str">
        <f t="shared" si="24"/>
        <v>ok</v>
      </c>
    </row>
    <row r="68" spans="1:18">
      <c r="A68" s="120">
        <v>7</v>
      </c>
      <c r="B68" s="120" t="s">
        <v>379</v>
      </c>
      <c r="C68" s="120">
        <v>4</v>
      </c>
      <c r="D68" s="121">
        <v>5.9</v>
      </c>
      <c r="E68" s="120" t="s">
        <v>374</v>
      </c>
      <c r="F68" s="120" t="s">
        <v>375</v>
      </c>
      <c r="G68" s="120">
        <v>0.47499999999999998</v>
      </c>
      <c r="H68" s="120"/>
      <c r="I68" s="121">
        <f t="shared" si="22"/>
        <v>0</v>
      </c>
      <c r="J68" s="121">
        <f t="shared" si="26"/>
        <v>8.7615000000000016</v>
      </c>
      <c r="K68" s="122">
        <f t="shared" si="23"/>
        <v>31.629014999999999</v>
      </c>
      <c r="L68" s="120">
        <v>0.15</v>
      </c>
      <c r="M68" s="120">
        <v>0.4</v>
      </c>
      <c r="N68" s="123"/>
      <c r="O68" s="123">
        <f t="shared" si="27"/>
        <v>0.06</v>
      </c>
      <c r="P68" s="120">
        <v>2000</v>
      </c>
      <c r="Q68" s="122">
        <f t="shared" si="25"/>
        <v>9.2592592592592595</v>
      </c>
      <c r="R68" s="119" t="str">
        <f t="shared" si="24"/>
        <v>ok</v>
      </c>
    </row>
    <row r="69" spans="1:18">
      <c r="A69" s="120">
        <v>8</v>
      </c>
      <c r="B69" s="120" t="s">
        <v>379</v>
      </c>
      <c r="C69" s="120">
        <v>4</v>
      </c>
      <c r="D69" s="121">
        <v>2</v>
      </c>
      <c r="E69" s="120" t="s">
        <v>376</v>
      </c>
      <c r="F69" s="120" t="s">
        <v>377</v>
      </c>
      <c r="G69" s="120"/>
      <c r="H69" s="120"/>
      <c r="I69" s="121">
        <f t="shared" si="22"/>
        <v>2</v>
      </c>
      <c r="J69" s="121">
        <f>IF(E69="Retangular - TDC",D69,0)*(2*L69+2*M69)*1.35</f>
        <v>0</v>
      </c>
      <c r="K69" s="122">
        <f t="shared" si="23"/>
        <v>0</v>
      </c>
      <c r="L69" s="120"/>
      <c r="M69" s="120"/>
      <c r="N69" s="123">
        <v>0.15</v>
      </c>
      <c r="O69" s="123">
        <f>MAX((L69*M69),(3.14159*(N69/2)^2))</f>
        <v>1.7671443749999998E-2</v>
      </c>
      <c r="P69" s="120">
        <v>500</v>
      </c>
      <c r="Q69" s="122">
        <f t="shared" si="25"/>
        <v>7.8595100012068286</v>
      </c>
      <c r="R69" s="119" t="str">
        <f t="shared" si="24"/>
        <v>ok</v>
      </c>
    </row>
    <row r="70" spans="1:18">
      <c r="A70" s="120">
        <v>9</v>
      </c>
      <c r="B70" s="120" t="s">
        <v>379</v>
      </c>
      <c r="C70" s="120">
        <v>5</v>
      </c>
      <c r="D70" s="121">
        <v>1</v>
      </c>
      <c r="E70" s="120" t="s">
        <v>374</v>
      </c>
      <c r="F70" s="120" t="s">
        <v>375</v>
      </c>
      <c r="G70" s="120">
        <v>0.47499999999999998</v>
      </c>
      <c r="H70" s="120"/>
      <c r="I70" s="121">
        <f t="shared" si="22"/>
        <v>0</v>
      </c>
      <c r="J70" s="121">
        <f t="shared" ref="J70:J75" si="28">IF(E70="Retangular - TDC",D70,0)*(2*L70+2*M70)*1.35</f>
        <v>0.81</v>
      </c>
      <c r="K70" s="122">
        <f t="shared" si="23"/>
        <v>2.9240999999999997</v>
      </c>
      <c r="L70" s="120">
        <v>0.15</v>
      </c>
      <c r="M70" s="120">
        <v>0.15</v>
      </c>
      <c r="N70" s="123"/>
      <c r="O70" s="123">
        <f>MAX((L70*M70),(3.14159*(N70/2)^2))</f>
        <v>2.2499999999999999E-2</v>
      </c>
      <c r="P70" s="120">
        <v>500</v>
      </c>
      <c r="Q70" s="122">
        <f t="shared" si="25"/>
        <v>6.1728395061728403</v>
      </c>
      <c r="R70" s="119" t="str">
        <f t="shared" si="24"/>
        <v>ok</v>
      </c>
    </row>
    <row r="71" spans="1:18">
      <c r="A71" s="120">
        <v>10</v>
      </c>
      <c r="B71" s="120" t="s">
        <v>379</v>
      </c>
      <c r="C71" s="120">
        <v>5</v>
      </c>
      <c r="D71" s="121">
        <v>2</v>
      </c>
      <c r="E71" s="120" t="s">
        <v>376</v>
      </c>
      <c r="F71" s="120" t="s">
        <v>377</v>
      </c>
      <c r="G71" s="120"/>
      <c r="H71" s="120"/>
      <c r="I71" s="121">
        <f t="shared" si="22"/>
        <v>2</v>
      </c>
      <c r="J71" s="121">
        <f>IF(E71="Retangular - TDC",D71,0)*(2*L71+2*M71)*1.35</f>
        <v>0</v>
      </c>
      <c r="K71" s="122">
        <f t="shared" si="23"/>
        <v>0</v>
      </c>
      <c r="L71" s="120"/>
      <c r="M71" s="120"/>
      <c r="N71" s="123">
        <v>0.15</v>
      </c>
      <c r="O71" s="123">
        <f>MAX((L71*M71),(3.14159*(N71/2)^2))</f>
        <v>1.7671443749999998E-2</v>
      </c>
      <c r="P71" s="120">
        <v>500</v>
      </c>
      <c r="Q71" s="122">
        <f t="shared" si="25"/>
        <v>7.8595100012068286</v>
      </c>
      <c r="R71" s="119" t="str">
        <f t="shared" si="24"/>
        <v>ok</v>
      </c>
    </row>
    <row r="72" spans="1:18">
      <c r="A72" s="120">
        <v>11</v>
      </c>
      <c r="B72" s="120" t="s">
        <v>379</v>
      </c>
      <c r="C72" s="120">
        <v>6</v>
      </c>
      <c r="D72" s="121">
        <v>6.8</v>
      </c>
      <c r="E72" s="120" t="s">
        <v>374</v>
      </c>
      <c r="F72" s="120" t="s">
        <v>375</v>
      </c>
      <c r="G72" s="120">
        <v>0.47499999999999998</v>
      </c>
      <c r="H72" s="120"/>
      <c r="I72" s="121">
        <f t="shared" si="22"/>
        <v>0</v>
      </c>
      <c r="J72" s="121">
        <f t="shared" si="28"/>
        <v>5.5080000000000009</v>
      </c>
      <c r="K72" s="122">
        <f t="shared" si="23"/>
        <v>19.883880000000001</v>
      </c>
      <c r="L72" s="120">
        <v>0.15</v>
      </c>
      <c r="M72" s="120">
        <v>0.15</v>
      </c>
      <c r="N72" s="123"/>
      <c r="O72" s="123">
        <f t="shared" ref="O72:O75" si="29">MAX((L72*M72),(3.14159*(N72/2)^2))</f>
        <v>2.2499999999999999E-2</v>
      </c>
      <c r="P72" s="120">
        <v>50</v>
      </c>
      <c r="Q72" s="122">
        <f t="shared" si="25"/>
        <v>0.61728395061728392</v>
      </c>
      <c r="R72" s="119" t="str">
        <f t="shared" si="24"/>
        <v>ok</v>
      </c>
    </row>
    <row r="73" spans="1:18">
      <c r="A73" s="120">
        <v>12</v>
      </c>
      <c r="B73" s="120" t="s">
        <v>379</v>
      </c>
      <c r="C73" s="120">
        <v>6</v>
      </c>
      <c r="D73" s="121">
        <v>2</v>
      </c>
      <c r="E73" s="120" t="s">
        <v>376</v>
      </c>
      <c r="F73" s="120" t="s">
        <v>377</v>
      </c>
      <c r="G73" s="120"/>
      <c r="H73" s="120"/>
      <c r="I73" s="121">
        <f t="shared" si="22"/>
        <v>2</v>
      </c>
      <c r="J73" s="121">
        <f>IF(E73="Retangular - TDC",D73,0)*(2*L73+2*M73)*1.35</f>
        <v>0</v>
      </c>
      <c r="K73" s="122">
        <f t="shared" si="23"/>
        <v>0</v>
      </c>
      <c r="L73" s="120"/>
      <c r="M73" s="120"/>
      <c r="N73" s="123">
        <v>0.15</v>
      </c>
      <c r="O73" s="123">
        <f>MAX((L73*M73),(3.14159*(N73/2)^2))</f>
        <v>1.7671443749999998E-2</v>
      </c>
      <c r="P73" s="120">
        <v>50</v>
      </c>
      <c r="Q73" s="122">
        <f t="shared" si="25"/>
        <v>0.78595100012068286</v>
      </c>
      <c r="R73" s="119" t="str">
        <f t="shared" si="24"/>
        <v>ok</v>
      </c>
    </row>
    <row r="74" spans="1:18">
      <c r="A74" s="120">
        <v>13</v>
      </c>
      <c r="B74" s="120" t="s">
        <v>379</v>
      </c>
      <c r="C74" s="120">
        <v>7</v>
      </c>
      <c r="D74" s="121">
        <v>7</v>
      </c>
      <c r="E74" s="120" t="s">
        <v>374</v>
      </c>
      <c r="F74" s="120" t="s">
        <v>375</v>
      </c>
      <c r="G74" s="120">
        <v>0.47499999999999998</v>
      </c>
      <c r="H74" s="120"/>
      <c r="I74" s="121">
        <f t="shared" si="22"/>
        <v>0</v>
      </c>
      <c r="J74" s="121">
        <f t="shared" si="28"/>
        <v>6.6149999999999993</v>
      </c>
      <c r="K74" s="122">
        <f t="shared" si="23"/>
        <v>23.880149999999997</v>
      </c>
      <c r="L74" s="120">
        <v>0.15</v>
      </c>
      <c r="M74" s="120">
        <v>0.2</v>
      </c>
      <c r="N74" s="123"/>
      <c r="O74" s="123">
        <f>MAX((L74*M74),(3.14159*(N74/2)^2))</f>
        <v>0.03</v>
      </c>
      <c r="P74" s="120">
        <v>1050</v>
      </c>
      <c r="Q74" s="122">
        <f t="shared" si="25"/>
        <v>9.7222222222222232</v>
      </c>
      <c r="R74" s="119" t="str">
        <f t="shared" si="24"/>
        <v>ok</v>
      </c>
    </row>
    <row r="75" spans="1:18">
      <c r="A75" s="120">
        <v>15</v>
      </c>
      <c r="B75" s="120" t="s">
        <v>379</v>
      </c>
      <c r="C75" s="120">
        <v>8</v>
      </c>
      <c r="D75" s="121">
        <v>7</v>
      </c>
      <c r="E75" s="120" t="s">
        <v>374</v>
      </c>
      <c r="F75" s="120" t="s">
        <v>375</v>
      </c>
      <c r="G75" s="120">
        <v>0.47499999999999998</v>
      </c>
      <c r="H75" s="120"/>
      <c r="I75" s="121">
        <f t="shared" si="22"/>
        <v>0</v>
      </c>
      <c r="J75" s="121">
        <f t="shared" si="28"/>
        <v>5.6700000000000008</v>
      </c>
      <c r="K75" s="122">
        <f t="shared" si="23"/>
        <v>20.468700000000005</v>
      </c>
      <c r="L75" s="120">
        <v>0.15</v>
      </c>
      <c r="M75" s="120">
        <v>0.15</v>
      </c>
      <c r="N75" s="123"/>
      <c r="O75" s="123">
        <f t="shared" si="29"/>
        <v>2.2499999999999999E-2</v>
      </c>
      <c r="P75" s="120">
        <v>500</v>
      </c>
      <c r="Q75" s="122">
        <f t="shared" si="25"/>
        <v>6.1728395061728403</v>
      </c>
      <c r="R75" s="119" t="str">
        <f t="shared" si="24"/>
        <v>ok</v>
      </c>
    </row>
    <row r="76" spans="1:18">
      <c r="A76" s="120">
        <v>16</v>
      </c>
      <c r="B76" s="120" t="s">
        <v>379</v>
      </c>
      <c r="C76" s="120">
        <v>8</v>
      </c>
      <c r="D76" s="121">
        <v>2</v>
      </c>
      <c r="E76" s="120" t="s">
        <v>376</v>
      </c>
      <c r="F76" s="120" t="s">
        <v>377</v>
      </c>
      <c r="G76" s="120"/>
      <c r="H76" s="120"/>
      <c r="I76" s="121">
        <f t="shared" si="22"/>
        <v>2</v>
      </c>
      <c r="J76" s="121">
        <f>IF(E76="Retangular - TDC",D76,0)*(2*L76+2*M76)*1.35</f>
        <v>0</v>
      </c>
      <c r="K76" s="122">
        <f t="shared" si="23"/>
        <v>0</v>
      </c>
      <c r="L76" s="120"/>
      <c r="M76" s="120"/>
      <c r="N76" s="123">
        <v>0.15</v>
      </c>
      <c r="O76" s="123">
        <f>MAX((L76*M76),(3.14159*(N76/2)^2))</f>
        <v>1.7671443749999998E-2</v>
      </c>
      <c r="P76" s="120">
        <v>500</v>
      </c>
      <c r="Q76" s="122">
        <f t="shared" si="25"/>
        <v>7.8595100012068286</v>
      </c>
      <c r="R76" s="119" t="str">
        <f t="shared" si="24"/>
        <v>ok</v>
      </c>
    </row>
    <row r="77" spans="1:18">
      <c r="A77" s="120">
        <v>17</v>
      </c>
      <c r="B77" s="120" t="s">
        <v>379</v>
      </c>
      <c r="C77" s="120">
        <v>9</v>
      </c>
      <c r="D77" s="121">
        <v>1</v>
      </c>
      <c r="E77" s="120" t="s">
        <v>374</v>
      </c>
      <c r="F77" s="120" t="s">
        <v>375</v>
      </c>
      <c r="G77" s="120">
        <v>0.47499999999999998</v>
      </c>
      <c r="H77" s="120"/>
      <c r="I77" s="121">
        <f t="shared" si="22"/>
        <v>0</v>
      </c>
      <c r="J77" s="121">
        <f t="shared" ref="J77" si="30">IF(E77="Retangular - TDC",D77,0)*(2*L77+2*M77)*1.35</f>
        <v>2.2949999999999999</v>
      </c>
      <c r="K77" s="122">
        <f t="shared" si="23"/>
        <v>8.2849500000000003</v>
      </c>
      <c r="L77" s="120">
        <v>0.15</v>
      </c>
      <c r="M77" s="120">
        <v>0.7</v>
      </c>
      <c r="N77" s="123"/>
      <c r="O77" s="123">
        <f>MAX((L77*M77),(3.14159*(N77/2)^2))</f>
        <v>0.105</v>
      </c>
      <c r="P77" s="120">
        <f>P74+P70+P68</f>
        <v>3550</v>
      </c>
      <c r="Q77" s="122">
        <f t="shared" si="25"/>
        <v>9.3915343915343925</v>
      </c>
      <c r="R77" s="119" t="str">
        <f t="shared" si="24"/>
        <v>ok</v>
      </c>
    </row>
    <row r="78" spans="1:18" ht="91.5">
      <c r="A78" s="120">
        <v>18</v>
      </c>
      <c r="B78" s="120" t="s">
        <v>379</v>
      </c>
      <c r="C78" s="120" t="s">
        <v>380</v>
      </c>
      <c r="D78" s="121"/>
      <c r="E78" s="120" t="s">
        <v>381</v>
      </c>
      <c r="F78" s="120" t="s">
        <v>375</v>
      </c>
      <c r="G78" s="120"/>
      <c r="H78" s="120">
        <v>8</v>
      </c>
      <c r="I78" s="121"/>
      <c r="J78" s="121"/>
      <c r="K78" s="122"/>
      <c r="L78" s="120"/>
      <c r="M78" s="120"/>
      <c r="N78" s="123"/>
      <c r="O78" s="123"/>
      <c r="P78" s="120"/>
      <c r="Q78" s="122"/>
    </row>
    <row r="79" spans="1:18" ht="30.75">
      <c r="A79" s="120">
        <v>19</v>
      </c>
      <c r="B79" s="120" t="s">
        <v>379</v>
      </c>
      <c r="C79" s="120" t="s">
        <v>380</v>
      </c>
      <c r="D79" s="121"/>
      <c r="E79" s="120" t="s">
        <v>382</v>
      </c>
      <c r="F79" s="120" t="s">
        <v>375</v>
      </c>
      <c r="G79" s="120"/>
      <c r="H79" s="120">
        <v>8</v>
      </c>
      <c r="I79" s="121"/>
      <c r="J79" s="121"/>
      <c r="K79" s="122"/>
      <c r="L79" s="120"/>
      <c r="M79" s="120"/>
      <c r="N79" s="123"/>
      <c r="O79" s="123"/>
      <c r="P79" s="120"/>
      <c r="Q79" s="122"/>
    </row>
    <row r="80" spans="1:18" ht="29.25">
      <c r="A80" s="118" t="s">
        <v>1</v>
      </c>
      <c r="B80" s="118" t="s">
        <v>8</v>
      </c>
      <c r="C80" s="118" t="s">
        <v>359</v>
      </c>
      <c r="D80" s="118" t="s">
        <v>383</v>
      </c>
      <c r="E80" s="118" t="s">
        <v>361</v>
      </c>
      <c r="F80" s="118" t="s">
        <v>362</v>
      </c>
      <c r="G80" s="118" t="s">
        <v>363</v>
      </c>
      <c r="H80" s="118" t="s">
        <v>364</v>
      </c>
      <c r="I80" s="118" t="s">
        <v>202</v>
      </c>
      <c r="J80" s="118" t="s">
        <v>365</v>
      </c>
      <c r="K80" s="118" t="s">
        <v>366</v>
      </c>
      <c r="L80" s="118" t="s">
        <v>367</v>
      </c>
      <c r="M80" s="118" t="s">
        <v>368</v>
      </c>
      <c r="N80" s="118" t="s">
        <v>369</v>
      </c>
      <c r="O80" s="118" t="s">
        <v>370</v>
      </c>
      <c r="P80" s="118" t="s">
        <v>371</v>
      </c>
      <c r="Q80" s="118" t="s">
        <v>372</v>
      </c>
    </row>
    <row r="81" spans="1:18">
      <c r="A81" s="120">
        <v>20</v>
      </c>
      <c r="B81" s="120" t="s">
        <v>384</v>
      </c>
      <c r="C81" s="120">
        <v>1</v>
      </c>
      <c r="D81" s="121">
        <v>1.8</v>
      </c>
      <c r="E81" s="120" t="s">
        <v>374</v>
      </c>
      <c r="F81" s="120" t="s">
        <v>375</v>
      </c>
      <c r="G81" s="120">
        <v>0.47499999999999998</v>
      </c>
      <c r="H81" s="120"/>
      <c r="I81" s="121">
        <f t="shared" si="22"/>
        <v>0</v>
      </c>
      <c r="J81" s="121">
        <f>IF(E81="Retangular - TDC",D81,0)*(2*L81+2*M81)*1.35</f>
        <v>1.4580000000000002</v>
      </c>
      <c r="K81" s="122">
        <f t="shared" si="23"/>
        <v>5.2633800000000006</v>
      </c>
      <c r="L81" s="120">
        <v>0.15</v>
      </c>
      <c r="M81" s="120">
        <v>0.15</v>
      </c>
      <c r="N81" s="123"/>
      <c r="O81" s="123">
        <f>MAX((L81*M81),(3.14159*(N81/2)^2))</f>
        <v>2.2499999999999999E-2</v>
      </c>
      <c r="P81" s="120">
        <v>200</v>
      </c>
      <c r="Q81" s="122">
        <f>P81/3600/O81</f>
        <v>2.4691358024691357</v>
      </c>
      <c r="R81" s="119" t="str">
        <f t="shared" si="24"/>
        <v>ok</v>
      </c>
    </row>
    <row r="82" spans="1:18">
      <c r="A82" s="120">
        <v>22</v>
      </c>
      <c r="B82" s="120" t="s">
        <v>384</v>
      </c>
      <c r="C82" s="120">
        <v>1</v>
      </c>
      <c r="D82" s="121">
        <v>2</v>
      </c>
      <c r="E82" s="120" t="s">
        <v>376</v>
      </c>
      <c r="F82" s="120" t="s">
        <v>377</v>
      </c>
      <c r="G82" s="120"/>
      <c r="H82" s="120"/>
      <c r="I82" s="121">
        <f t="shared" si="22"/>
        <v>2</v>
      </c>
      <c r="J82" s="121">
        <f>IF(E82="Retangular - TDC",D82,0)*(2*L82+2*M82)*1.35</f>
        <v>0</v>
      </c>
      <c r="K82" s="122">
        <f t="shared" si="23"/>
        <v>0</v>
      </c>
      <c r="L82" s="120"/>
      <c r="M82" s="120"/>
      <c r="N82" s="123">
        <v>0.15</v>
      </c>
      <c r="O82" s="123">
        <f>MAX((L82*M82),(3.14159*(N82/2)^2))</f>
        <v>1.7671443749999998E-2</v>
      </c>
      <c r="P82" s="120">
        <v>200</v>
      </c>
      <c r="Q82" s="122">
        <f t="shared" ref="Q82:Q114" si="31">P82/3600/O82</f>
        <v>3.1438040004827315</v>
      </c>
      <c r="R82" s="119" t="str">
        <f t="shared" si="24"/>
        <v>ok</v>
      </c>
    </row>
    <row r="83" spans="1:18">
      <c r="A83" s="120">
        <v>23</v>
      </c>
      <c r="B83" s="120" t="s">
        <v>384</v>
      </c>
      <c r="C83" s="120">
        <v>1</v>
      </c>
      <c r="D83" s="121">
        <v>2</v>
      </c>
      <c r="E83" s="120" t="s">
        <v>376</v>
      </c>
      <c r="F83" s="120" t="s">
        <v>377</v>
      </c>
      <c r="G83" s="120"/>
      <c r="H83" s="120"/>
      <c r="I83" s="121">
        <f t="shared" si="22"/>
        <v>2</v>
      </c>
      <c r="J83" s="121">
        <f t="shared" ref="J83:J114" si="32">IF(E83="Retangular - TDC",D83,0)*(2*L83+2*M83)*1.35</f>
        <v>0</v>
      </c>
      <c r="K83" s="122">
        <f t="shared" si="23"/>
        <v>0</v>
      </c>
      <c r="L83" s="120"/>
      <c r="M83" s="120"/>
      <c r="N83" s="123">
        <v>0.15</v>
      </c>
      <c r="O83" s="123">
        <f t="shared" ref="O83:O114" si="33">MAX((L83*M83),(3.14159*(N83/2)^2))</f>
        <v>1.7671443749999998E-2</v>
      </c>
      <c r="P83" s="120">
        <v>200</v>
      </c>
      <c r="Q83" s="122">
        <f t="shared" si="31"/>
        <v>3.1438040004827315</v>
      </c>
      <c r="R83" s="119" t="str">
        <f t="shared" si="24"/>
        <v>ok</v>
      </c>
    </row>
    <row r="84" spans="1:18">
      <c r="A84" s="120">
        <v>24</v>
      </c>
      <c r="B84" s="120" t="s">
        <v>384</v>
      </c>
      <c r="C84" s="120">
        <v>1</v>
      </c>
      <c r="D84" s="121">
        <v>2</v>
      </c>
      <c r="E84" s="120" t="s">
        <v>376</v>
      </c>
      <c r="F84" s="120" t="s">
        <v>377</v>
      </c>
      <c r="G84" s="120"/>
      <c r="H84" s="120"/>
      <c r="I84" s="121">
        <f t="shared" si="22"/>
        <v>2</v>
      </c>
      <c r="J84" s="121">
        <f t="shared" si="32"/>
        <v>0</v>
      </c>
      <c r="K84" s="122">
        <f t="shared" si="23"/>
        <v>0</v>
      </c>
      <c r="L84" s="120"/>
      <c r="M84" s="120"/>
      <c r="N84" s="123">
        <v>0.15</v>
      </c>
      <c r="O84" s="123">
        <f t="shared" si="33"/>
        <v>1.7671443749999998E-2</v>
      </c>
      <c r="P84" s="120">
        <v>200</v>
      </c>
      <c r="Q84" s="122">
        <f t="shared" si="31"/>
        <v>3.1438040004827315</v>
      </c>
      <c r="R84" s="119" t="str">
        <f t="shared" si="24"/>
        <v>ok</v>
      </c>
    </row>
    <row r="85" spans="1:18">
      <c r="A85" s="120">
        <v>25</v>
      </c>
      <c r="B85" s="120" t="s">
        <v>384</v>
      </c>
      <c r="C85" s="120">
        <v>2</v>
      </c>
      <c r="D85" s="121">
        <v>1.8</v>
      </c>
      <c r="E85" s="120" t="s">
        <v>374</v>
      </c>
      <c r="F85" s="120" t="s">
        <v>375</v>
      </c>
      <c r="G85" s="120">
        <v>0.47499999999999998</v>
      </c>
      <c r="H85" s="120"/>
      <c r="I85" s="121">
        <f t="shared" si="22"/>
        <v>0</v>
      </c>
      <c r="J85" s="121">
        <f t="shared" si="32"/>
        <v>1.4580000000000002</v>
      </c>
      <c r="K85" s="122">
        <f t="shared" si="23"/>
        <v>5.2633800000000006</v>
      </c>
      <c r="L85" s="120">
        <v>0.15</v>
      </c>
      <c r="M85" s="120">
        <v>0.15</v>
      </c>
      <c r="N85" s="123"/>
      <c r="O85" s="123">
        <f t="shared" si="33"/>
        <v>2.2499999999999999E-2</v>
      </c>
      <c r="P85" s="120">
        <v>50</v>
      </c>
      <c r="Q85" s="122">
        <f t="shared" si="31"/>
        <v>0.61728395061728392</v>
      </c>
      <c r="R85" s="119" t="str">
        <f t="shared" si="24"/>
        <v>ok</v>
      </c>
    </row>
    <row r="86" spans="1:18">
      <c r="A86" s="120">
        <v>26</v>
      </c>
      <c r="B86" s="120" t="s">
        <v>384</v>
      </c>
      <c r="C86" s="120">
        <v>2</v>
      </c>
      <c r="D86" s="121">
        <v>2</v>
      </c>
      <c r="E86" s="120" t="s">
        <v>376</v>
      </c>
      <c r="F86" s="120" t="s">
        <v>377</v>
      </c>
      <c r="G86" s="120"/>
      <c r="H86" s="120"/>
      <c r="I86" s="121">
        <f t="shared" si="22"/>
        <v>2</v>
      </c>
      <c r="J86" s="121">
        <f t="shared" si="32"/>
        <v>0</v>
      </c>
      <c r="K86" s="122">
        <f t="shared" si="23"/>
        <v>0</v>
      </c>
      <c r="L86" s="120"/>
      <c r="M86" s="120"/>
      <c r="N86" s="123">
        <v>0.15</v>
      </c>
      <c r="O86" s="123">
        <f t="shared" si="33"/>
        <v>1.7671443749999998E-2</v>
      </c>
      <c r="P86" s="120">
        <v>200</v>
      </c>
      <c r="Q86" s="122">
        <f t="shared" si="31"/>
        <v>3.1438040004827315</v>
      </c>
      <c r="R86" s="119" t="str">
        <f t="shared" si="24"/>
        <v>ok</v>
      </c>
    </row>
    <row r="87" spans="1:18">
      <c r="A87" s="120">
        <v>27</v>
      </c>
      <c r="B87" s="120" t="s">
        <v>384</v>
      </c>
      <c r="C87" s="120">
        <v>3</v>
      </c>
      <c r="D87" s="121">
        <v>2</v>
      </c>
      <c r="E87" s="120" t="s">
        <v>374</v>
      </c>
      <c r="F87" s="120" t="s">
        <v>375</v>
      </c>
      <c r="G87" s="120">
        <v>0.47499999999999998</v>
      </c>
      <c r="H87" s="120"/>
      <c r="I87" s="121">
        <f t="shared" si="22"/>
        <v>0</v>
      </c>
      <c r="J87" s="121">
        <f t="shared" si="32"/>
        <v>1.62</v>
      </c>
      <c r="K87" s="122">
        <f t="shared" si="23"/>
        <v>5.8481999999999994</v>
      </c>
      <c r="L87" s="120">
        <v>0.15</v>
      </c>
      <c r="M87" s="120">
        <v>0.15</v>
      </c>
      <c r="N87" s="123"/>
      <c r="O87" s="123">
        <f t="shared" si="33"/>
        <v>2.2499999999999999E-2</v>
      </c>
      <c r="P87" s="120">
        <v>250</v>
      </c>
      <c r="Q87" s="122">
        <f t="shared" si="31"/>
        <v>3.0864197530864201</v>
      </c>
      <c r="R87" s="119" t="str">
        <f t="shared" si="24"/>
        <v>ok</v>
      </c>
    </row>
    <row r="88" spans="1:18">
      <c r="A88" s="120">
        <v>28</v>
      </c>
      <c r="B88" s="120" t="s">
        <v>384</v>
      </c>
      <c r="C88" s="120">
        <v>4</v>
      </c>
      <c r="D88" s="121">
        <v>6.5</v>
      </c>
      <c r="E88" s="120" t="s">
        <v>374</v>
      </c>
      <c r="F88" s="120" t="s">
        <v>375</v>
      </c>
      <c r="G88" s="120">
        <v>0.47499999999999998</v>
      </c>
      <c r="H88" s="120"/>
      <c r="I88" s="121">
        <f t="shared" si="22"/>
        <v>0</v>
      </c>
      <c r="J88" s="121">
        <f t="shared" si="32"/>
        <v>5.2650000000000006</v>
      </c>
      <c r="K88" s="122">
        <f t="shared" si="23"/>
        <v>19.00665</v>
      </c>
      <c r="L88" s="120">
        <v>0.15</v>
      </c>
      <c r="M88" s="120">
        <v>0.15</v>
      </c>
      <c r="N88" s="123"/>
      <c r="O88" s="123">
        <f t="shared" si="33"/>
        <v>2.2499999999999999E-2</v>
      </c>
      <c r="P88" s="120">
        <v>650</v>
      </c>
      <c r="Q88" s="122">
        <f t="shared" si="31"/>
        <v>8.0246913580246915</v>
      </c>
      <c r="R88" s="119" t="str">
        <f t="shared" si="24"/>
        <v>ok</v>
      </c>
    </row>
    <row r="89" spans="1:18">
      <c r="A89" s="120">
        <v>29</v>
      </c>
      <c r="B89" s="120" t="s">
        <v>384</v>
      </c>
      <c r="C89" s="120">
        <v>5</v>
      </c>
      <c r="D89" s="121">
        <v>1</v>
      </c>
      <c r="E89" s="120" t="s">
        <v>374</v>
      </c>
      <c r="F89" s="120" t="s">
        <v>375</v>
      </c>
      <c r="G89" s="120">
        <v>0.47499999999999998</v>
      </c>
      <c r="H89" s="120"/>
      <c r="I89" s="121">
        <f t="shared" si="22"/>
        <v>0</v>
      </c>
      <c r="J89" s="121">
        <f t="shared" si="32"/>
        <v>0.81</v>
      </c>
      <c r="K89" s="122">
        <f t="shared" si="23"/>
        <v>2.9240999999999997</v>
      </c>
      <c r="L89" s="120">
        <v>0.15</v>
      </c>
      <c r="M89" s="120">
        <v>0.15</v>
      </c>
      <c r="N89" s="123"/>
      <c r="O89" s="123">
        <f t="shared" si="33"/>
        <v>2.2499999999999999E-2</v>
      </c>
      <c r="P89" s="120">
        <v>200</v>
      </c>
      <c r="Q89" s="122">
        <f t="shared" si="31"/>
        <v>2.4691358024691357</v>
      </c>
      <c r="R89" s="119" t="str">
        <f t="shared" si="24"/>
        <v>ok</v>
      </c>
    </row>
    <row r="90" spans="1:18">
      <c r="A90" s="120">
        <v>30</v>
      </c>
      <c r="B90" s="120" t="s">
        <v>384</v>
      </c>
      <c r="C90" s="120">
        <v>5</v>
      </c>
      <c r="D90" s="121">
        <v>2</v>
      </c>
      <c r="E90" s="120" t="s">
        <v>376</v>
      </c>
      <c r="F90" s="120" t="s">
        <v>377</v>
      </c>
      <c r="G90" s="120"/>
      <c r="H90" s="120"/>
      <c r="I90" s="121">
        <f t="shared" si="22"/>
        <v>2</v>
      </c>
      <c r="J90" s="121">
        <f t="shared" si="32"/>
        <v>0</v>
      </c>
      <c r="K90" s="122">
        <f t="shared" si="23"/>
        <v>0</v>
      </c>
      <c r="L90" s="120"/>
      <c r="M90" s="120"/>
      <c r="N90" s="123">
        <v>0.15</v>
      </c>
      <c r="O90" s="123">
        <f t="shared" si="33"/>
        <v>1.7671443749999998E-2</v>
      </c>
      <c r="P90" s="120">
        <v>200</v>
      </c>
      <c r="Q90" s="122">
        <f t="shared" si="31"/>
        <v>3.1438040004827315</v>
      </c>
      <c r="R90" s="119" t="str">
        <f t="shared" si="24"/>
        <v>ok</v>
      </c>
    </row>
    <row r="91" spans="1:18">
      <c r="A91" s="120">
        <v>31</v>
      </c>
      <c r="B91" s="120" t="s">
        <v>384</v>
      </c>
      <c r="C91" s="120">
        <v>6</v>
      </c>
      <c r="D91" s="121">
        <v>1.2</v>
      </c>
      <c r="E91" s="120" t="s">
        <v>374</v>
      </c>
      <c r="F91" s="120" t="s">
        <v>375</v>
      </c>
      <c r="G91" s="120">
        <v>0.47499999999999998</v>
      </c>
      <c r="H91" s="120"/>
      <c r="I91" s="121">
        <f t="shared" si="22"/>
        <v>0</v>
      </c>
      <c r="J91" s="121">
        <f t="shared" si="32"/>
        <v>0.97199999999999998</v>
      </c>
      <c r="K91" s="122">
        <f t="shared" si="23"/>
        <v>3.5089199999999998</v>
      </c>
      <c r="L91" s="120">
        <v>0.15</v>
      </c>
      <c r="M91" s="120">
        <v>0.15</v>
      </c>
      <c r="N91" s="123"/>
      <c r="O91" s="123">
        <f t="shared" si="33"/>
        <v>2.2499999999999999E-2</v>
      </c>
      <c r="P91" s="120">
        <v>400</v>
      </c>
      <c r="Q91" s="122">
        <f t="shared" si="31"/>
        <v>4.9382716049382713</v>
      </c>
      <c r="R91" s="119" t="str">
        <f t="shared" si="24"/>
        <v>ok</v>
      </c>
    </row>
    <row r="92" spans="1:18">
      <c r="A92" s="120">
        <v>32</v>
      </c>
      <c r="B92" s="120" t="s">
        <v>384</v>
      </c>
      <c r="C92" s="120">
        <v>6</v>
      </c>
      <c r="D92" s="121">
        <v>2</v>
      </c>
      <c r="E92" s="120" t="s">
        <v>376</v>
      </c>
      <c r="F92" s="120" t="s">
        <v>377</v>
      </c>
      <c r="G92" s="120"/>
      <c r="H92" s="120"/>
      <c r="I92" s="121">
        <f t="shared" si="22"/>
        <v>2</v>
      </c>
      <c r="J92" s="121">
        <f t="shared" si="32"/>
        <v>0</v>
      </c>
      <c r="K92" s="122">
        <f t="shared" si="23"/>
        <v>0</v>
      </c>
      <c r="L92" s="120"/>
      <c r="M92" s="120"/>
      <c r="N92" s="123">
        <v>0.15</v>
      </c>
      <c r="O92" s="123">
        <f t="shared" si="33"/>
        <v>1.7671443749999998E-2</v>
      </c>
      <c r="P92" s="120">
        <v>200</v>
      </c>
      <c r="Q92" s="122">
        <f t="shared" si="31"/>
        <v>3.1438040004827315</v>
      </c>
      <c r="R92" s="119" t="str">
        <f t="shared" si="24"/>
        <v>ok</v>
      </c>
    </row>
    <row r="93" spans="1:18">
      <c r="A93" s="120">
        <v>33</v>
      </c>
      <c r="B93" s="120" t="s">
        <v>384</v>
      </c>
      <c r="C93" s="120">
        <v>7</v>
      </c>
      <c r="D93" s="121">
        <v>1.5</v>
      </c>
      <c r="E93" s="120" t="s">
        <v>374</v>
      </c>
      <c r="F93" s="120" t="s">
        <v>375</v>
      </c>
      <c r="G93" s="120">
        <v>0.47499999999999998</v>
      </c>
      <c r="H93" s="120"/>
      <c r="I93" s="121">
        <f t="shared" si="22"/>
        <v>0</v>
      </c>
      <c r="J93" s="121">
        <f t="shared" si="32"/>
        <v>1.2149999999999999</v>
      </c>
      <c r="K93" s="122">
        <f t="shared" si="23"/>
        <v>4.3861499999999989</v>
      </c>
      <c r="L93" s="120">
        <v>0.15</v>
      </c>
      <c r="M93" s="120">
        <v>0.15</v>
      </c>
      <c r="N93" s="123"/>
      <c r="O93" s="123">
        <f t="shared" si="33"/>
        <v>2.2499999999999999E-2</v>
      </c>
      <c r="P93" s="120">
        <v>600</v>
      </c>
      <c r="Q93" s="122">
        <f t="shared" si="31"/>
        <v>7.4074074074074074</v>
      </c>
      <c r="R93" s="119" t="str">
        <f t="shared" si="24"/>
        <v>ok</v>
      </c>
    </row>
    <row r="94" spans="1:18">
      <c r="A94" s="120">
        <v>34</v>
      </c>
      <c r="B94" s="120" t="s">
        <v>384</v>
      </c>
      <c r="C94" s="120">
        <v>7</v>
      </c>
      <c r="D94" s="121">
        <v>2</v>
      </c>
      <c r="E94" s="120" t="s">
        <v>376</v>
      </c>
      <c r="F94" s="120" t="s">
        <v>377</v>
      </c>
      <c r="G94" s="120"/>
      <c r="H94" s="120"/>
      <c r="I94" s="121">
        <f t="shared" si="22"/>
        <v>2</v>
      </c>
      <c r="J94" s="121">
        <f t="shared" si="32"/>
        <v>0</v>
      </c>
      <c r="K94" s="122">
        <f t="shared" si="23"/>
        <v>0</v>
      </c>
      <c r="L94" s="120"/>
      <c r="M94" s="120"/>
      <c r="N94" s="123">
        <v>0.15</v>
      </c>
      <c r="O94" s="123">
        <f t="shared" si="33"/>
        <v>1.7671443749999998E-2</v>
      </c>
      <c r="P94" s="120">
        <v>200</v>
      </c>
      <c r="Q94" s="122">
        <f t="shared" si="31"/>
        <v>3.1438040004827315</v>
      </c>
      <c r="R94" s="119" t="str">
        <f t="shared" si="24"/>
        <v>ok</v>
      </c>
    </row>
    <row r="95" spans="1:18">
      <c r="A95" s="120">
        <v>35</v>
      </c>
      <c r="B95" s="120" t="s">
        <v>384</v>
      </c>
      <c r="C95" s="120">
        <v>8</v>
      </c>
      <c r="D95" s="121">
        <v>2.5</v>
      </c>
      <c r="E95" s="120" t="s">
        <v>374</v>
      </c>
      <c r="F95" s="120" t="s">
        <v>375</v>
      </c>
      <c r="G95" s="120">
        <v>0.47499999999999998</v>
      </c>
      <c r="H95" s="120"/>
      <c r="I95" s="121">
        <f t="shared" si="22"/>
        <v>0</v>
      </c>
      <c r="J95" s="121">
        <f t="shared" si="32"/>
        <v>2.7</v>
      </c>
      <c r="K95" s="122">
        <f t="shared" si="23"/>
        <v>9.7469999999999999</v>
      </c>
      <c r="L95" s="120">
        <v>0.15</v>
      </c>
      <c r="M95" s="120">
        <v>0.25</v>
      </c>
      <c r="N95" s="123"/>
      <c r="O95" s="123">
        <f t="shared" si="33"/>
        <v>3.7499999999999999E-2</v>
      </c>
      <c r="P95" s="120">
        <v>1250</v>
      </c>
      <c r="Q95" s="122">
        <f t="shared" si="31"/>
        <v>9.2592592592592595</v>
      </c>
      <c r="R95" s="119" t="str">
        <f t="shared" si="24"/>
        <v>ok</v>
      </c>
    </row>
    <row r="96" spans="1:18">
      <c r="A96" s="120">
        <v>36</v>
      </c>
      <c r="B96" s="120" t="s">
        <v>384</v>
      </c>
      <c r="C96" s="120">
        <v>8</v>
      </c>
      <c r="D96" s="121">
        <v>2</v>
      </c>
      <c r="E96" s="120" t="s">
        <v>376</v>
      </c>
      <c r="F96" s="120" t="s">
        <v>377</v>
      </c>
      <c r="G96" s="120"/>
      <c r="H96" s="120"/>
      <c r="I96" s="121">
        <f t="shared" si="22"/>
        <v>2</v>
      </c>
      <c r="J96" s="121">
        <f t="shared" si="32"/>
        <v>0</v>
      </c>
      <c r="K96" s="122">
        <f t="shared" si="23"/>
        <v>0</v>
      </c>
      <c r="L96" s="120"/>
      <c r="M96" s="120"/>
      <c r="N96" s="123">
        <v>0.15</v>
      </c>
      <c r="O96" s="123">
        <f t="shared" si="33"/>
        <v>1.7671443749999998E-2</v>
      </c>
      <c r="P96" s="120">
        <v>200</v>
      </c>
      <c r="Q96" s="122">
        <f t="shared" si="31"/>
        <v>3.1438040004827315</v>
      </c>
      <c r="R96" s="119" t="str">
        <f t="shared" si="24"/>
        <v>ok</v>
      </c>
    </row>
    <row r="97" spans="1:18">
      <c r="A97" s="120">
        <v>37</v>
      </c>
      <c r="B97" s="120" t="s">
        <v>384</v>
      </c>
      <c r="C97" s="120">
        <v>9</v>
      </c>
      <c r="D97" s="121">
        <v>1</v>
      </c>
      <c r="E97" s="120" t="s">
        <v>374</v>
      </c>
      <c r="F97" s="120" t="s">
        <v>375</v>
      </c>
      <c r="G97" s="120">
        <v>0.47499999999999998</v>
      </c>
      <c r="H97" s="120"/>
      <c r="I97" s="121">
        <f t="shared" si="22"/>
        <v>0</v>
      </c>
      <c r="J97" s="121">
        <f t="shared" si="32"/>
        <v>0.81</v>
      </c>
      <c r="K97" s="122">
        <f t="shared" si="23"/>
        <v>2.9240999999999997</v>
      </c>
      <c r="L97" s="120">
        <v>0.15</v>
      </c>
      <c r="M97" s="120">
        <v>0.15</v>
      </c>
      <c r="N97" s="123"/>
      <c r="O97" s="123">
        <f t="shared" si="33"/>
        <v>2.2499999999999999E-2</v>
      </c>
      <c r="P97" s="120">
        <v>200</v>
      </c>
      <c r="Q97" s="122">
        <f t="shared" si="31"/>
        <v>2.4691358024691357</v>
      </c>
      <c r="R97" s="119" t="str">
        <f t="shared" si="24"/>
        <v>ok</v>
      </c>
    </row>
    <row r="98" spans="1:18">
      <c r="A98" s="120">
        <v>38</v>
      </c>
      <c r="B98" s="120" t="s">
        <v>384</v>
      </c>
      <c r="C98" s="120">
        <v>9</v>
      </c>
      <c r="D98" s="121">
        <v>2</v>
      </c>
      <c r="E98" s="120" t="s">
        <v>376</v>
      </c>
      <c r="F98" s="120" t="s">
        <v>377</v>
      </c>
      <c r="G98" s="120"/>
      <c r="H98" s="120"/>
      <c r="I98" s="121">
        <f t="shared" si="22"/>
        <v>2</v>
      </c>
      <c r="J98" s="121">
        <f t="shared" si="32"/>
        <v>0</v>
      </c>
      <c r="K98" s="122">
        <f t="shared" si="23"/>
        <v>0</v>
      </c>
      <c r="L98" s="120"/>
      <c r="M98" s="120"/>
      <c r="N98" s="123">
        <v>0.15</v>
      </c>
      <c r="O98" s="123">
        <f t="shared" si="33"/>
        <v>1.7671443749999998E-2</v>
      </c>
      <c r="P98" s="120">
        <v>200</v>
      </c>
      <c r="Q98" s="122">
        <f t="shared" si="31"/>
        <v>3.1438040004827315</v>
      </c>
      <c r="R98" s="119" t="str">
        <f t="shared" si="24"/>
        <v>ok</v>
      </c>
    </row>
    <row r="99" spans="1:18">
      <c r="A99" s="120">
        <v>39</v>
      </c>
      <c r="B99" s="120" t="s">
        <v>384</v>
      </c>
      <c r="C99" s="120">
        <v>10</v>
      </c>
      <c r="D99" s="121">
        <v>7.5</v>
      </c>
      <c r="E99" s="120" t="s">
        <v>374</v>
      </c>
      <c r="F99" s="120" t="s">
        <v>375</v>
      </c>
      <c r="G99" s="120">
        <v>0.47499999999999998</v>
      </c>
      <c r="H99" s="120"/>
      <c r="I99" s="121">
        <f t="shared" si="22"/>
        <v>0</v>
      </c>
      <c r="J99" s="121">
        <f t="shared" si="32"/>
        <v>10.125</v>
      </c>
      <c r="K99" s="122">
        <f t="shared" si="23"/>
        <v>36.551250000000003</v>
      </c>
      <c r="L99" s="120">
        <v>0.15</v>
      </c>
      <c r="M99" s="120">
        <v>0.35</v>
      </c>
      <c r="N99" s="123"/>
      <c r="O99" s="123">
        <f t="shared" si="33"/>
        <v>5.2499999999999998E-2</v>
      </c>
      <c r="P99" s="120">
        <v>1650</v>
      </c>
      <c r="Q99" s="122">
        <f t="shared" si="31"/>
        <v>8.7301587301587293</v>
      </c>
      <c r="R99" s="119" t="str">
        <f t="shared" si="24"/>
        <v>ok</v>
      </c>
    </row>
    <row r="100" spans="1:18">
      <c r="A100" s="120">
        <v>40</v>
      </c>
      <c r="B100" s="120" t="s">
        <v>384</v>
      </c>
      <c r="C100" s="120">
        <v>11</v>
      </c>
      <c r="D100" s="121">
        <v>1</v>
      </c>
      <c r="E100" s="120" t="s">
        <v>374</v>
      </c>
      <c r="F100" s="120" t="s">
        <v>375</v>
      </c>
      <c r="G100" s="120">
        <v>0.47499999999999998</v>
      </c>
      <c r="H100" s="120"/>
      <c r="I100" s="121">
        <f t="shared" si="22"/>
        <v>0</v>
      </c>
      <c r="J100" s="121">
        <f t="shared" si="32"/>
        <v>0.81</v>
      </c>
      <c r="K100" s="122">
        <f t="shared" si="23"/>
        <v>2.9240999999999997</v>
      </c>
      <c r="L100" s="120">
        <v>0.15</v>
      </c>
      <c r="M100" s="120">
        <v>0.15</v>
      </c>
      <c r="N100" s="123"/>
      <c r="O100" s="123">
        <f t="shared" si="33"/>
        <v>2.2499999999999999E-2</v>
      </c>
      <c r="P100" s="120">
        <v>200</v>
      </c>
      <c r="Q100" s="122">
        <f t="shared" si="31"/>
        <v>2.4691358024691357</v>
      </c>
      <c r="R100" s="119" t="str">
        <f t="shared" si="24"/>
        <v>ok</v>
      </c>
    </row>
    <row r="101" spans="1:18">
      <c r="A101" s="120">
        <v>41</v>
      </c>
      <c r="B101" s="120" t="s">
        <v>384</v>
      </c>
      <c r="C101" s="120">
        <v>11</v>
      </c>
      <c r="D101" s="121">
        <v>2</v>
      </c>
      <c r="E101" s="120" t="s">
        <v>376</v>
      </c>
      <c r="F101" s="120" t="s">
        <v>377</v>
      </c>
      <c r="G101" s="120"/>
      <c r="H101" s="120"/>
      <c r="I101" s="121">
        <f t="shared" si="22"/>
        <v>2</v>
      </c>
      <c r="J101" s="121">
        <f t="shared" si="32"/>
        <v>0</v>
      </c>
      <c r="K101" s="122">
        <f t="shared" si="23"/>
        <v>0</v>
      </c>
      <c r="L101" s="120"/>
      <c r="M101" s="120"/>
      <c r="N101" s="123">
        <v>0.15</v>
      </c>
      <c r="O101" s="123">
        <f t="shared" si="33"/>
        <v>1.7671443749999998E-2</v>
      </c>
      <c r="P101" s="120">
        <v>200</v>
      </c>
      <c r="Q101" s="122">
        <f t="shared" si="31"/>
        <v>3.1438040004827315</v>
      </c>
      <c r="R101" s="119" t="str">
        <f t="shared" si="24"/>
        <v>ok</v>
      </c>
    </row>
    <row r="102" spans="1:18">
      <c r="A102" s="120">
        <v>42</v>
      </c>
      <c r="B102" s="120" t="s">
        <v>384</v>
      </c>
      <c r="C102" s="120">
        <v>12</v>
      </c>
      <c r="D102" s="121">
        <v>4.5</v>
      </c>
      <c r="E102" s="120" t="s">
        <v>374</v>
      </c>
      <c r="F102" s="120" t="s">
        <v>375</v>
      </c>
      <c r="G102" s="120">
        <v>0.47499999999999998</v>
      </c>
      <c r="H102" s="120"/>
      <c r="I102" s="121">
        <f t="shared" si="22"/>
        <v>0</v>
      </c>
      <c r="J102" s="121">
        <f t="shared" si="32"/>
        <v>3.645</v>
      </c>
      <c r="K102" s="122">
        <f t="shared" si="23"/>
        <v>13.158449999999998</v>
      </c>
      <c r="L102" s="120">
        <v>0.15</v>
      </c>
      <c r="M102" s="120">
        <v>0.15</v>
      </c>
      <c r="N102" s="123"/>
      <c r="O102" s="123">
        <f t="shared" si="33"/>
        <v>2.2499999999999999E-2</v>
      </c>
      <c r="P102" s="120">
        <v>200</v>
      </c>
      <c r="Q102" s="122">
        <f t="shared" si="31"/>
        <v>2.4691358024691357</v>
      </c>
      <c r="R102" s="119" t="str">
        <f t="shared" si="24"/>
        <v>ok</v>
      </c>
    </row>
    <row r="103" spans="1:18">
      <c r="A103" s="120">
        <v>43</v>
      </c>
      <c r="B103" s="120" t="s">
        <v>384</v>
      </c>
      <c r="C103" s="120">
        <v>12</v>
      </c>
      <c r="D103" s="121">
        <v>2</v>
      </c>
      <c r="E103" s="120" t="s">
        <v>376</v>
      </c>
      <c r="F103" s="120" t="s">
        <v>377</v>
      </c>
      <c r="G103" s="120"/>
      <c r="H103" s="120"/>
      <c r="I103" s="121">
        <f t="shared" si="22"/>
        <v>2</v>
      </c>
      <c r="J103" s="121">
        <f t="shared" si="32"/>
        <v>0</v>
      </c>
      <c r="K103" s="122">
        <f t="shared" si="23"/>
        <v>0</v>
      </c>
      <c r="L103" s="120"/>
      <c r="M103" s="120"/>
      <c r="N103" s="123">
        <v>0.15</v>
      </c>
      <c r="O103" s="123">
        <f t="shared" si="33"/>
        <v>1.7671443749999998E-2</v>
      </c>
      <c r="P103" s="120">
        <v>200</v>
      </c>
      <c r="Q103" s="122">
        <f t="shared" si="31"/>
        <v>3.1438040004827315</v>
      </c>
      <c r="R103" s="119" t="str">
        <f t="shared" si="24"/>
        <v>ok</v>
      </c>
    </row>
    <row r="104" spans="1:18">
      <c r="A104" s="120">
        <v>44</v>
      </c>
      <c r="B104" s="120" t="s">
        <v>384</v>
      </c>
      <c r="C104" s="120">
        <v>13</v>
      </c>
      <c r="D104" s="121"/>
      <c r="E104" s="120" t="s">
        <v>374</v>
      </c>
      <c r="F104" s="120" t="s">
        <v>375</v>
      </c>
      <c r="G104" s="120">
        <v>0.47499999999999998</v>
      </c>
      <c r="H104" s="120"/>
      <c r="I104" s="121">
        <f t="shared" si="22"/>
        <v>0</v>
      </c>
      <c r="J104" s="121">
        <f t="shared" si="32"/>
        <v>0</v>
      </c>
      <c r="K104" s="122">
        <f t="shared" si="23"/>
        <v>0</v>
      </c>
      <c r="L104" s="120">
        <v>0.15</v>
      </c>
      <c r="M104" s="120">
        <v>0.45</v>
      </c>
      <c r="N104" s="123"/>
      <c r="O104" s="123">
        <f t="shared" si="33"/>
        <v>6.7500000000000004E-2</v>
      </c>
      <c r="P104" s="120">
        <v>2250</v>
      </c>
      <c r="Q104" s="122">
        <f t="shared" si="31"/>
        <v>9.2592592592592595</v>
      </c>
      <c r="R104" s="119" t="str">
        <f t="shared" si="24"/>
        <v>ok</v>
      </c>
    </row>
    <row r="105" spans="1:18">
      <c r="A105" s="120">
        <v>45</v>
      </c>
      <c r="B105" s="120" t="s">
        <v>384</v>
      </c>
      <c r="C105" s="120">
        <v>13</v>
      </c>
      <c r="D105" s="121">
        <v>2</v>
      </c>
      <c r="E105" s="120" t="s">
        <v>376</v>
      </c>
      <c r="F105" s="120" t="s">
        <v>377</v>
      </c>
      <c r="G105" s="120"/>
      <c r="H105" s="120"/>
      <c r="I105" s="121">
        <f t="shared" si="22"/>
        <v>2</v>
      </c>
      <c r="J105" s="121">
        <f t="shared" si="32"/>
        <v>0</v>
      </c>
      <c r="K105" s="122">
        <f t="shared" si="23"/>
        <v>0</v>
      </c>
      <c r="L105" s="120"/>
      <c r="M105" s="120"/>
      <c r="N105" s="123">
        <v>0.15</v>
      </c>
      <c r="O105" s="123">
        <f t="shared" si="33"/>
        <v>1.7671443749999998E-2</v>
      </c>
      <c r="P105" s="120">
        <v>200</v>
      </c>
      <c r="Q105" s="122">
        <f t="shared" si="31"/>
        <v>3.1438040004827315</v>
      </c>
      <c r="R105" s="119" t="str">
        <f t="shared" si="24"/>
        <v>ok</v>
      </c>
    </row>
    <row r="106" spans="1:18">
      <c r="A106" s="120">
        <v>46</v>
      </c>
      <c r="B106" s="120" t="s">
        <v>384</v>
      </c>
      <c r="C106" s="120">
        <v>14</v>
      </c>
      <c r="D106" s="121"/>
      <c r="E106" s="120" t="s">
        <v>374</v>
      </c>
      <c r="F106" s="120" t="s">
        <v>375</v>
      </c>
      <c r="G106" s="120">
        <v>0.47499999999999998</v>
      </c>
      <c r="H106" s="120"/>
      <c r="I106" s="121">
        <f t="shared" si="22"/>
        <v>0</v>
      </c>
      <c r="J106" s="121">
        <f t="shared" si="32"/>
        <v>0</v>
      </c>
      <c r="K106" s="122">
        <f t="shared" si="23"/>
        <v>0</v>
      </c>
      <c r="L106" s="120">
        <v>0.15</v>
      </c>
      <c r="M106" s="120">
        <v>0.15</v>
      </c>
      <c r="N106" s="123"/>
      <c r="O106" s="123">
        <f t="shared" si="33"/>
        <v>2.2499999999999999E-2</v>
      </c>
      <c r="P106" s="120">
        <v>50</v>
      </c>
      <c r="Q106" s="122">
        <f t="shared" si="31"/>
        <v>0.61728395061728392</v>
      </c>
      <c r="R106" s="119" t="str">
        <f t="shared" si="24"/>
        <v>ok</v>
      </c>
    </row>
    <row r="107" spans="1:18">
      <c r="A107" s="120">
        <v>47</v>
      </c>
      <c r="B107" s="120" t="s">
        <v>384</v>
      </c>
      <c r="C107" s="120">
        <v>14</v>
      </c>
      <c r="D107" s="121">
        <v>2</v>
      </c>
      <c r="E107" s="120" t="s">
        <v>376</v>
      </c>
      <c r="F107" s="120" t="s">
        <v>377</v>
      </c>
      <c r="G107" s="120"/>
      <c r="H107" s="120"/>
      <c r="I107" s="121">
        <f t="shared" si="22"/>
        <v>2</v>
      </c>
      <c r="J107" s="121">
        <f t="shared" si="32"/>
        <v>0</v>
      </c>
      <c r="K107" s="122">
        <f t="shared" si="23"/>
        <v>0</v>
      </c>
      <c r="L107" s="120"/>
      <c r="M107" s="120"/>
      <c r="N107" s="123">
        <v>0.15</v>
      </c>
      <c r="O107" s="123">
        <f t="shared" si="33"/>
        <v>1.7671443749999998E-2</v>
      </c>
      <c r="P107" s="120">
        <v>50</v>
      </c>
      <c r="Q107" s="122">
        <f t="shared" si="31"/>
        <v>0.78595100012068286</v>
      </c>
      <c r="R107" s="119" t="str">
        <f t="shared" si="24"/>
        <v>ok</v>
      </c>
    </row>
    <row r="108" spans="1:18">
      <c r="A108" s="120">
        <v>48</v>
      </c>
      <c r="B108" s="120" t="s">
        <v>384</v>
      </c>
      <c r="C108" s="120">
        <v>15</v>
      </c>
      <c r="D108" s="121"/>
      <c r="E108" s="120" t="s">
        <v>374</v>
      </c>
      <c r="F108" s="120" t="s">
        <v>375</v>
      </c>
      <c r="G108" s="120">
        <v>0.47499999999999998</v>
      </c>
      <c r="H108" s="120"/>
      <c r="I108" s="121">
        <f t="shared" si="22"/>
        <v>0</v>
      </c>
      <c r="J108" s="121">
        <f t="shared" si="32"/>
        <v>0</v>
      </c>
      <c r="K108" s="122">
        <f t="shared" si="23"/>
        <v>0</v>
      </c>
      <c r="L108" s="120">
        <v>0.15</v>
      </c>
      <c r="M108" s="120">
        <v>0.15</v>
      </c>
      <c r="N108" s="123"/>
      <c r="O108" s="123">
        <f t="shared" si="33"/>
        <v>2.2499999999999999E-2</v>
      </c>
      <c r="P108" s="120">
        <v>100</v>
      </c>
      <c r="Q108" s="122">
        <f t="shared" si="31"/>
        <v>1.2345679012345678</v>
      </c>
      <c r="R108" s="119" t="str">
        <f t="shared" si="24"/>
        <v>ok</v>
      </c>
    </row>
    <row r="109" spans="1:18">
      <c r="A109" s="120">
        <v>49</v>
      </c>
      <c r="B109" s="120" t="s">
        <v>384</v>
      </c>
      <c r="C109" s="120">
        <v>15</v>
      </c>
      <c r="D109" s="121">
        <v>2</v>
      </c>
      <c r="E109" s="120" t="s">
        <v>376</v>
      </c>
      <c r="F109" s="120" t="s">
        <v>377</v>
      </c>
      <c r="G109" s="120"/>
      <c r="H109" s="120"/>
      <c r="I109" s="121">
        <f t="shared" si="22"/>
        <v>2</v>
      </c>
      <c r="J109" s="121">
        <f t="shared" si="32"/>
        <v>0</v>
      </c>
      <c r="K109" s="122">
        <f t="shared" si="23"/>
        <v>0</v>
      </c>
      <c r="L109" s="120"/>
      <c r="M109" s="120"/>
      <c r="N109" s="123">
        <v>0.15</v>
      </c>
      <c r="O109" s="123">
        <f t="shared" si="33"/>
        <v>1.7671443749999998E-2</v>
      </c>
      <c r="P109" s="120">
        <v>50</v>
      </c>
      <c r="Q109" s="122">
        <f t="shared" si="31"/>
        <v>0.78595100012068286</v>
      </c>
      <c r="R109" s="119" t="str">
        <f t="shared" si="24"/>
        <v>ok</v>
      </c>
    </row>
    <row r="110" spans="1:18">
      <c r="A110" s="120">
        <v>50</v>
      </c>
      <c r="B110" s="120" t="s">
        <v>384</v>
      </c>
      <c r="C110" s="120">
        <v>16</v>
      </c>
      <c r="D110" s="121"/>
      <c r="E110" s="120" t="s">
        <v>374</v>
      </c>
      <c r="F110" s="120" t="s">
        <v>375</v>
      </c>
      <c r="G110" s="120">
        <v>0.47499999999999998</v>
      </c>
      <c r="H110" s="120"/>
      <c r="I110" s="121">
        <f t="shared" si="22"/>
        <v>0</v>
      </c>
      <c r="J110" s="121">
        <f t="shared" si="32"/>
        <v>0</v>
      </c>
      <c r="K110" s="122">
        <f t="shared" si="23"/>
        <v>0</v>
      </c>
      <c r="L110" s="120">
        <v>0.15</v>
      </c>
      <c r="M110" s="120">
        <v>0.45</v>
      </c>
      <c r="N110" s="123"/>
      <c r="O110" s="123">
        <f t="shared" si="33"/>
        <v>6.7500000000000004E-2</v>
      </c>
      <c r="P110" s="120">
        <v>2350</v>
      </c>
      <c r="Q110" s="122">
        <f t="shared" si="31"/>
        <v>9.6707818930041149</v>
      </c>
      <c r="R110" s="119" t="str">
        <f t="shared" si="24"/>
        <v>ok</v>
      </c>
    </row>
    <row r="111" spans="1:18">
      <c r="A111" s="120">
        <v>51</v>
      </c>
      <c r="B111" s="120" t="s">
        <v>384</v>
      </c>
      <c r="C111" s="120">
        <v>16</v>
      </c>
      <c r="D111" s="121">
        <v>2</v>
      </c>
      <c r="E111" s="120" t="s">
        <v>376</v>
      </c>
      <c r="F111" s="120" t="s">
        <v>377</v>
      </c>
      <c r="G111" s="120"/>
      <c r="H111" s="120"/>
      <c r="I111" s="121">
        <f t="shared" si="22"/>
        <v>2</v>
      </c>
      <c r="J111" s="121">
        <f t="shared" si="32"/>
        <v>0</v>
      </c>
      <c r="K111" s="122">
        <f t="shared" si="23"/>
        <v>0</v>
      </c>
      <c r="L111" s="120"/>
      <c r="M111" s="120"/>
      <c r="N111" s="123">
        <v>0.15</v>
      </c>
      <c r="O111" s="123">
        <f t="shared" si="33"/>
        <v>1.7671443749999998E-2</v>
      </c>
      <c r="P111" s="120">
        <v>200</v>
      </c>
      <c r="Q111" s="122">
        <f t="shared" si="31"/>
        <v>3.1438040004827315</v>
      </c>
      <c r="R111" s="119" t="str">
        <f t="shared" si="24"/>
        <v>ok</v>
      </c>
    </row>
    <row r="112" spans="1:18">
      <c r="A112" s="120">
        <v>52</v>
      </c>
      <c r="B112" s="120" t="s">
        <v>384</v>
      </c>
      <c r="C112" s="120">
        <v>17</v>
      </c>
      <c r="D112" s="121"/>
      <c r="E112" s="120" t="s">
        <v>374</v>
      </c>
      <c r="F112" s="120" t="s">
        <v>375</v>
      </c>
      <c r="G112" s="120">
        <v>0.47499999999999998</v>
      </c>
      <c r="H112" s="120"/>
      <c r="I112" s="121">
        <f t="shared" si="22"/>
        <v>0</v>
      </c>
      <c r="J112" s="121">
        <f t="shared" si="32"/>
        <v>0</v>
      </c>
      <c r="K112" s="122">
        <f t="shared" si="23"/>
        <v>0</v>
      </c>
      <c r="L112" s="120">
        <v>0.15</v>
      </c>
      <c r="M112" s="120">
        <v>0.5</v>
      </c>
      <c r="N112" s="123"/>
      <c r="O112" s="123">
        <f t="shared" si="33"/>
        <v>7.4999999999999997E-2</v>
      </c>
      <c r="P112" s="120">
        <v>2550</v>
      </c>
      <c r="Q112" s="122">
        <f t="shared" si="31"/>
        <v>9.4444444444444446</v>
      </c>
      <c r="R112" s="119" t="str">
        <f t="shared" si="24"/>
        <v>ok</v>
      </c>
    </row>
    <row r="113" spans="1:18">
      <c r="A113" s="120">
        <v>53</v>
      </c>
      <c r="B113" s="120" t="s">
        <v>384</v>
      </c>
      <c r="C113" s="120">
        <v>17</v>
      </c>
      <c r="D113" s="121">
        <v>2</v>
      </c>
      <c r="E113" s="120" t="s">
        <v>376</v>
      </c>
      <c r="F113" s="120" t="s">
        <v>377</v>
      </c>
      <c r="G113" s="120"/>
      <c r="H113" s="120"/>
      <c r="I113" s="121">
        <f t="shared" si="22"/>
        <v>2</v>
      </c>
      <c r="J113" s="121">
        <f t="shared" si="32"/>
        <v>0</v>
      </c>
      <c r="K113" s="122">
        <f t="shared" si="23"/>
        <v>0</v>
      </c>
      <c r="L113" s="120"/>
      <c r="M113" s="120"/>
      <c r="N113" s="123">
        <v>0.15</v>
      </c>
      <c r="O113" s="123">
        <f t="shared" si="33"/>
        <v>1.7671443749999998E-2</v>
      </c>
      <c r="P113" s="120">
        <v>200</v>
      </c>
      <c r="Q113" s="122">
        <f t="shared" si="31"/>
        <v>3.1438040004827315</v>
      </c>
      <c r="R113" s="119" t="str">
        <f t="shared" si="24"/>
        <v>ok</v>
      </c>
    </row>
    <row r="114" spans="1:18">
      <c r="A114" s="120">
        <v>54</v>
      </c>
      <c r="B114" s="120" t="s">
        <v>384</v>
      </c>
      <c r="C114" s="120">
        <v>18</v>
      </c>
      <c r="D114" s="121">
        <v>5.9</v>
      </c>
      <c r="E114" s="120" t="s">
        <v>374</v>
      </c>
      <c r="F114" s="120" t="s">
        <v>375</v>
      </c>
      <c r="G114" s="120">
        <v>0.47499999999999998</v>
      </c>
      <c r="H114" s="120"/>
      <c r="I114" s="121">
        <f t="shared" si="22"/>
        <v>0</v>
      </c>
      <c r="J114" s="121">
        <f t="shared" si="32"/>
        <v>11.151000000000003</v>
      </c>
      <c r="K114" s="122">
        <f t="shared" si="23"/>
        <v>40.255110000000009</v>
      </c>
      <c r="L114" s="120">
        <v>0.15</v>
      </c>
      <c r="M114" s="120">
        <v>0.55000000000000004</v>
      </c>
      <c r="N114" s="123"/>
      <c r="O114" s="123">
        <f t="shared" si="33"/>
        <v>8.2500000000000004E-2</v>
      </c>
      <c r="P114" s="120">
        <v>2750</v>
      </c>
      <c r="Q114" s="122">
        <f t="shared" si="31"/>
        <v>9.2592592592592577</v>
      </c>
      <c r="R114" s="119" t="str">
        <f t="shared" si="24"/>
        <v>ok</v>
      </c>
    </row>
    <row r="115" spans="1:18">
      <c r="A115" s="120">
        <v>55</v>
      </c>
      <c r="B115" s="120" t="s">
        <v>384</v>
      </c>
      <c r="C115" s="120">
        <v>18</v>
      </c>
      <c r="D115" s="121"/>
      <c r="E115" s="120"/>
      <c r="F115" s="120"/>
      <c r="G115" s="120"/>
      <c r="H115" s="120"/>
      <c r="I115" s="121"/>
      <c r="J115" s="121"/>
      <c r="K115" s="122"/>
      <c r="L115" s="120"/>
      <c r="M115" s="120"/>
      <c r="N115" s="123"/>
      <c r="O115" s="123"/>
      <c r="P115" s="120"/>
      <c r="Q115" s="122"/>
    </row>
    <row r="116" spans="1:18" ht="91.5">
      <c r="A116" s="120">
        <v>56</v>
      </c>
      <c r="B116" s="120" t="s">
        <v>384</v>
      </c>
      <c r="C116" s="120" t="s">
        <v>380</v>
      </c>
      <c r="D116" s="121"/>
      <c r="E116" s="120" t="s">
        <v>381</v>
      </c>
      <c r="F116" s="120" t="s">
        <v>375</v>
      </c>
      <c r="G116" s="120"/>
      <c r="H116" s="120">
        <v>16</v>
      </c>
      <c r="I116" s="121"/>
      <c r="J116" s="121"/>
      <c r="K116" s="122"/>
      <c r="L116" s="120"/>
      <c r="M116" s="120"/>
      <c r="N116" s="123"/>
      <c r="O116" s="123"/>
      <c r="P116" s="120"/>
      <c r="Q116" s="122"/>
    </row>
    <row r="117" spans="1:18" ht="30.75">
      <c r="A117" s="120">
        <v>57</v>
      </c>
      <c r="B117" s="120" t="s">
        <v>384</v>
      </c>
      <c r="C117" s="120" t="s">
        <v>380</v>
      </c>
      <c r="D117" s="121"/>
      <c r="E117" s="120" t="s">
        <v>382</v>
      </c>
      <c r="F117" s="120" t="s">
        <v>375</v>
      </c>
      <c r="G117" s="120"/>
      <c r="H117" s="120">
        <v>16</v>
      </c>
      <c r="I117" s="121"/>
      <c r="J117" s="121"/>
      <c r="K117" s="122"/>
      <c r="L117" s="120"/>
      <c r="M117" s="120"/>
      <c r="N117" s="123"/>
      <c r="O117" s="123"/>
      <c r="P117" s="120"/>
      <c r="Q117" s="122"/>
    </row>
    <row r="118" spans="1:18" ht="29.25">
      <c r="A118" s="118" t="s">
        <v>1</v>
      </c>
      <c r="B118" s="118" t="s">
        <v>8</v>
      </c>
      <c r="C118" s="118" t="s">
        <v>359</v>
      </c>
      <c r="D118" s="118" t="s">
        <v>383</v>
      </c>
      <c r="E118" s="118" t="s">
        <v>361</v>
      </c>
      <c r="F118" s="118" t="s">
        <v>362</v>
      </c>
      <c r="G118" s="118" t="s">
        <v>363</v>
      </c>
      <c r="H118" s="118" t="s">
        <v>364</v>
      </c>
      <c r="I118" s="118" t="s">
        <v>202</v>
      </c>
      <c r="J118" s="118" t="s">
        <v>365</v>
      </c>
      <c r="K118" s="118" t="s">
        <v>366</v>
      </c>
      <c r="L118" s="118" t="s">
        <v>367</v>
      </c>
      <c r="M118" s="118" t="s">
        <v>368</v>
      </c>
      <c r="N118" s="118" t="s">
        <v>369</v>
      </c>
      <c r="O118" s="118" t="s">
        <v>370</v>
      </c>
      <c r="P118" s="118" t="s">
        <v>371</v>
      </c>
      <c r="Q118" s="118" t="s">
        <v>372</v>
      </c>
    </row>
    <row r="119" spans="1:18">
      <c r="A119" s="120">
        <v>58</v>
      </c>
      <c r="B119" s="120" t="s">
        <v>385</v>
      </c>
      <c r="C119" s="120">
        <v>1</v>
      </c>
      <c r="D119" s="121">
        <v>2</v>
      </c>
      <c r="E119" s="120" t="s">
        <v>374</v>
      </c>
      <c r="F119" s="120" t="s">
        <v>375</v>
      </c>
      <c r="G119" s="120">
        <v>0.47499999999999998</v>
      </c>
      <c r="H119" s="120"/>
      <c r="I119" s="121">
        <f t="shared" ref="I119:I138" si="34">IF(E119="Flexível - Circular",D119,0)</f>
        <v>0</v>
      </c>
      <c r="J119" s="121">
        <f t="shared" ref="J119:J160" si="35">IF(E119="Retangular - TDC",D119,0)*(2*L119+2*M119)*1.35</f>
        <v>1.62</v>
      </c>
      <c r="K119" s="122">
        <f t="shared" ref="K119:K138" si="36">J119*G119*7600/1000</f>
        <v>5.8481999999999994</v>
      </c>
      <c r="L119" s="120">
        <v>0.15</v>
      </c>
      <c r="M119" s="120">
        <v>0.15</v>
      </c>
      <c r="N119" s="120"/>
      <c r="O119" s="120">
        <f t="shared" ref="O119:O138" si="37">MAX((L119*M119),(3.14159*(N119/2)^2))</f>
        <v>2.2499999999999999E-2</v>
      </c>
      <c r="P119" s="120">
        <v>200</v>
      </c>
      <c r="Q119" s="122">
        <f t="shared" ref="Q119:Q160" si="38">P119/3600/O119</f>
        <v>2.4691358024691357</v>
      </c>
      <c r="R119" s="119" t="str">
        <f t="shared" si="24"/>
        <v>ok</v>
      </c>
    </row>
    <row r="120" spans="1:18">
      <c r="A120" s="120">
        <v>59</v>
      </c>
      <c r="B120" s="120" t="s">
        <v>385</v>
      </c>
      <c r="C120" s="120">
        <v>1</v>
      </c>
      <c r="D120" s="121">
        <v>2</v>
      </c>
      <c r="E120" s="120" t="s">
        <v>376</v>
      </c>
      <c r="F120" s="120" t="s">
        <v>377</v>
      </c>
      <c r="G120" s="120"/>
      <c r="H120" s="120"/>
      <c r="I120" s="121">
        <f t="shared" si="34"/>
        <v>2</v>
      </c>
      <c r="J120" s="121">
        <f t="shared" si="35"/>
        <v>0</v>
      </c>
      <c r="K120" s="122">
        <f t="shared" si="36"/>
        <v>0</v>
      </c>
      <c r="L120" s="120"/>
      <c r="M120" s="120"/>
      <c r="N120" s="123">
        <v>0.15</v>
      </c>
      <c r="O120" s="123">
        <f t="shared" si="37"/>
        <v>1.7671443749999998E-2</v>
      </c>
      <c r="P120" s="120">
        <v>200</v>
      </c>
      <c r="Q120" s="122">
        <f t="shared" si="38"/>
        <v>3.1438040004827315</v>
      </c>
      <c r="R120" s="119" t="str">
        <f t="shared" si="24"/>
        <v>ok</v>
      </c>
    </row>
    <row r="121" spans="1:18">
      <c r="A121" s="120">
        <v>60</v>
      </c>
      <c r="B121" s="120" t="s">
        <v>385</v>
      </c>
      <c r="C121" s="120">
        <v>2</v>
      </c>
      <c r="D121" s="121">
        <v>4</v>
      </c>
      <c r="E121" s="120" t="s">
        <v>374</v>
      </c>
      <c r="F121" s="120" t="s">
        <v>375</v>
      </c>
      <c r="G121" s="120">
        <v>0.47499999999999998</v>
      </c>
      <c r="H121" s="120"/>
      <c r="I121" s="121">
        <f t="shared" si="34"/>
        <v>0</v>
      </c>
      <c r="J121" s="121">
        <f t="shared" si="35"/>
        <v>3.24</v>
      </c>
      <c r="K121" s="122">
        <f t="shared" si="36"/>
        <v>11.696399999999999</v>
      </c>
      <c r="L121" s="120">
        <v>0.15</v>
      </c>
      <c r="M121" s="121">
        <v>0.15</v>
      </c>
      <c r="N121" s="120"/>
      <c r="O121" s="120">
        <f t="shared" si="37"/>
        <v>2.2499999999999999E-2</v>
      </c>
      <c r="P121" s="120">
        <v>400</v>
      </c>
      <c r="Q121" s="122">
        <f t="shared" si="38"/>
        <v>4.9382716049382713</v>
      </c>
      <c r="R121" s="119" t="str">
        <f t="shared" si="24"/>
        <v>ok</v>
      </c>
    </row>
    <row r="122" spans="1:18">
      <c r="A122" s="120">
        <v>61</v>
      </c>
      <c r="B122" s="120" t="s">
        <v>385</v>
      </c>
      <c r="C122" s="120">
        <v>2</v>
      </c>
      <c r="D122" s="121">
        <v>2</v>
      </c>
      <c r="E122" s="120" t="s">
        <v>376</v>
      </c>
      <c r="F122" s="120" t="s">
        <v>377</v>
      </c>
      <c r="G122" s="120"/>
      <c r="H122" s="120"/>
      <c r="I122" s="121">
        <f t="shared" si="34"/>
        <v>2</v>
      </c>
      <c r="J122" s="121">
        <f t="shared" si="35"/>
        <v>0</v>
      </c>
      <c r="K122" s="122">
        <f t="shared" si="36"/>
        <v>0</v>
      </c>
      <c r="L122" s="120"/>
      <c r="M122" s="120"/>
      <c r="N122" s="123">
        <v>0.15</v>
      </c>
      <c r="O122" s="123">
        <f t="shared" si="37"/>
        <v>1.7671443749999998E-2</v>
      </c>
      <c r="P122" s="120">
        <v>200</v>
      </c>
      <c r="Q122" s="122">
        <f t="shared" si="38"/>
        <v>3.1438040004827315</v>
      </c>
      <c r="R122" s="119" t="str">
        <f t="shared" si="24"/>
        <v>ok</v>
      </c>
    </row>
    <row r="123" spans="1:18">
      <c r="A123" s="120">
        <v>62</v>
      </c>
      <c r="B123" s="120" t="s">
        <v>385</v>
      </c>
      <c r="C123" s="120">
        <v>3</v>
      </c>
      <c r="D123" s="121">
        <v>2</v>
      </c>
      <c r="E123" s="120" t="s">
        <v>374</v>
      </c>
      <c r="F123" s="120" t="s">
        <v>375</v>
      </c>
      <c r="G123" s="120">
        <v>0.47499999999999998</v>
      </c>
      <c r="H123" s="120"/>
      <c r="I123" s="121">
        <f t="shared" si="34"/>
        <v>0</v>
      </c>
      <c r="J123" s="121">
        <f t="shared" si="35"/>
        <v>1.62</v>
      </c>
      <c r="K123" s="122">
        <f t="shared" si="36"/>
        <v>5.8481999999999994</v>
      </c>
      <c r="L123" s="120">
        <v>0.15</v>
      </c>
      <c r="M123" s="121">
        <v>0.15</v>
      </c>
      <c r="N123" s="120"/>
      <c r="O123" s="120">
        <f t="shared" si="37"/>
        <v>2.2499999999999999E-2</v>
      </c>
      <c r="P123" s="120">
        <v>600</v>
      </c>
      <c r="Q123" s="122">
        <f t="shared" si="38"/>
        <v>7.4074074074074074</v>
      </c>
      <c r="R123" s="119" t="str">
        <f t="shared" si="24"/>
        <v>ok</v>
      </c>
    </row>
    <row r="124" spans="1:18">
      <c r="A124" s="120">
        <v>63</v>
      </c>
      <c r="B124" s="120" t="s">
        <v>385</v>
      </c>
      <c r="C124" s="120">
        <v>3</v>
      </c>
      <c r="D124" s="121">
        <v>2</v>
      </c>
      <c r="E124" s="120" t="s">
        <v>376</v>
      </c>
      <c r="F124" s="120" t="s">
        <v>377</v>
      </c>
      <c r="G124" s="120"/>
      <c r="H124" s="120"/>
      <c r="I124" s="121">
        <f t="shared" si="34"/>
        <v>2</v>
      </c>
      <c r="J124" s="121">
        <f t="shared" si="35"/>
        <v>0</v>
      </c>
      <c r="K124" s="122">
        <f t="shared" si="36"/>
        <v>0</v>
      </c>
      <c r="L124" s="120"/>
      <c r="M124" s="120"/>
      <c r="N124" s="123">
        <v>0.15</v>
      </c>
      <c r="O124" s="123">
        <f t="shared" si="37"/>
        <v>1.7671443749999998E-2</v>
      </c>
      <c r="P124" s="120">
        <v>200</v>
      </c>
      <c r="Q124" s="122">
        <f t="shared" si="38"/>
        <v>3.1438040004827315</v>
      </c>
      <c r="R124" s="119" t="str">
        <f t="shared" si="24"/>
        <v>ok</v>
      </c>
    </row>
    <row r="125" spans="1:18">
      <c r="A125" s="120">
        <v>64</v>
      </c>
      <c r="B125" s="120" t="s">
        <v>385</v>
      </c>
      <c r="C125" s="120">
        <v>4</v>
      </c>
      <c r="D125" s="121">
        <v>1.5</v>
      </c>
      <c r="E125" s="120" t="s">
        <v>374</v>
      </c>
      <c r="F125" s="120" t="s">
        <v>375</v>
      </c>
      <c r="G125" s="120">
        <v>0.47499999999999998</v>
      </c>
      <c r="H125" s="120"/>
      <c r="I125" s="121">
        <f t="shared" si="34"/>
        <v>0</v>
      </c>
      <c r="J125" s="121">
        <f t="shared" si="35"/>
        <v>1.2149999999999999</v>
      </c>
      <c r="K125" s="122">
        <f t="shared" si="36"/>
        <v>4.3861499999999989</v>
      </c>
      <c r="L125" s="120">
        <v>0.15</v>
      </c>
      <c r="M125" s="120">
        <v>0.15</v>
      </c>
      <c r="N125" s="120"/>
      <c r="O125" s="120">
        <f t="shared" si="37"/>
        <v>2.2499999999999999E-2</v>
      </c>
      <c r="P125" s="120">
        <v>200</v>
      </c>
      <c r="Q125" s="122">
        <f t="shared" si="38"/>
        <v>2.4691358024691357</v>
      </c>
      <c r="R125" s="119" t="str">
        <f t="shared" si="24"/>
        <v>ok</v>
      </c>
    </row>
    <row r="126" spans="1:18">
      <c r="A126" s="120">
        <v>65</v>
      </c>
      <c r="B126" s="120" t="s">
        <v>385</v>
      </c>
      <c r="C126" s="120">
        <v>4</v>
      </c>
      <c r="D126" s="121">
        <v>2</v>
      </c>
      <c r="E126" s="120" t="s">
        <v>376</v>
      </c>
      <c r="F126" s="120" t="s">
        <v>377</v>
      </c>
      <c r="G126" s="120"/>
      <c r="H126" s="120"/>
      <c r="I126" s="121">
        <f t="shared" si="34"/>
        <v>2</v>
      </c>
      <c r="J126" s="121">
        <f t="shared" si="35"/>
        <v>0</v>
      </c>
      <c r="K126" s="122">
        <f t="shared" si="36"/>
        <v>0</v>
      </c>
      <c r="L126" s="120"/>
      <c r="M126" s="120"/>
      <c r="N126" s="123">
        <v>0.15</v>
      </c>
      <c r="O126" s="123">
        <f t="shared" si="37"/>
        <v>1.7671443749999998E-2</v>
      </c>
      <c r="P126" s="120">
        <v>200</v>
      </c>
      <c r="Q126" s="122">
        <f t="shared" si="38"/>
        <v>3.1438040004827315</v>
      </c>
      <c r="R126" s="119" t="str">
        <f t="shared" si="24"/>
        <v>ok</v>
      </c>
    </row>
    <row r="127" spans="1:18">
      <c r="A127" s="120">
        <v>66</v>
      </c>
      <c r="B127" s="120" t="s">
        <v>385</v>
      </c>
      <c r="C127" s="120">
        <v>5</v>
      </c>
      <c r="D127" s="121">
        <v>4.5</v>
      </c>
      <c r="E127" s="120" t="s">
        <v>374</v>
      </c>
      <c r="F127" s="120" t="s">
        <v>375</v>
      </c>
      <c r="G127" s="120">
        <v>0.47499999999999998</v>
      </c>
      <c r="H127" s="120"/>
      <c r="I127" s="121">
        <f t="shared" si="34"/>
        <v>0</v>
      </c>
      <c r="J127" s="121">
        <f t="shared" si="35"/>
        <v>3.645</v>
      </c>
      <c r="K127" s="122">
        <f t="shared" si="36"/>
        <v>13.158449999999998</v>
      </c>
      <c r="L127" s="120">
        <v>0.15</v>
      </c>
      <c r="M127" s="120">
        <v>0.15</v>
      </c>
      <c r="N127" s="120"/>
      <c r="O127" s="120">
        <f t="shared" si="37"/>
        <v>2.2499999999999999E-2</v>
      </c>
      <c r="P127" s="120">
        <v>800</v>
      </c>
      <c r="Q127" s="122">
        <f t="shared" si="38"/>
        <v>9.8765432098765427</v>
      </c>
      <c r="R127" s="119" t="str">
        <f t="shared" ref="R127:R160" si="39">IF(Q127&lt;10,"ok","não")</f>
        <v>ok</v>
      </c>
    </row>
    <row r="128" spans="1:18">
      <c r="A128" s="120">
        <v>67</v>
      </c>
      <c r="B128" s="120" t="s">
        <v>385</v>
      </c>
      <c r="C128" s="120">
        <v>6</v>
      </c>
      <c r="D128" s="121">
        <v>5.5</v>
      </c>
      <c r="E128" s="120" t="s">
        <v>374</v>
      </c>
      <c r="F128" s="120" t="s">
        <v>375</v>
      </c>
      <c r="G128" s="120">
        <v>0.47499999999999998</v>
      </c>
      <c r="H128" s="120"/>
      <c r="I128" s="121">
        <f t="shared" si="34"/>
        <v>0</v>
      </c>
      <c r="J128" s="121">
        <f t="shared" si="35"/>
        <v>4.4550000000000001</v>
      </c>
      <c r="K128" s="122">
        <f t="shared" si="36"/>
        <v>16.082549999999998</v>
      </c>
      <c r="L128" s="120">
        <v>0.15</v>
      </c>
      <c r="M128" s="120">
        <v>0.15</v>
      </c>
      <c r="N128" s="120"/>
      <c r="O128" s="120">
        <f t="shared" si="37"/>
        <v>2.2499999999999999E-2</v>
      </c>
      <c r="P128" s="120">
        <v>200</v>
      </c>
      <c r="Q128" s="122">
        <f t="shared" si="38"/>
        <v>2.4691358024691357</v>
      </c>
      <c r="R128" s="119" t="str">
        <f t="shared" si="39"/>
        <v>ok</v>
      </c>
    </row>
    <row r="129" spans="1:18">
      <c r="A129" s="120">
        <v>68</v>
      </c>
      <c r="B129" s="120" t="s">
        <v>385</v>
      </c>
      <c r="C129" s="120">
        <v>6</v>
      </c>
      <c r="D129" s="121">
        <v>2</v>
      </c>
      <c r="E129" s="120" t="s">
        <v>376</v>
      </c>
      <c r="F129" s="120" t="s">
        <v>377</v>
      </c>
      <c r="G129" s="120"/>
      <c r="H129" s="120"/>
      <c r="I129" s="121">
        <f t="shared" si="34"/>
        <v>2</v>
      </c>
      <c r="J129" s="121">
        <f t="shared" si="35"/>
        <v>0</v>
      </c>
      <c r="K129" s="122">
        <f t="shared" si="36"/>
        <v>0</v>
      </c>
      <c r="L129" s="120"/>
      <c r="M129" s="120"/>
      <c r="N129" s="123">
        <v>0.15</v>
      </c>
      <c r="O129" s="123">
        <f t="shared" si="37"/>
        <v>1.7671443749999998E-2</v>
      </c>
      <c r="P129" s="120">
        <v>200</v>
      </c>
      <c r="Q129" s="122">
        <f t="shared" si="38"/>
        <v>3.1438040004827315</v>
      </c>
      <c r="R129" s="119" t="str">
        <f t="shared" si="39"/>
        <v>ok</v>
      </c>
    </row>
    <row r="130" spans="1:18">
      <c r="A130" s="120">
        <v>69</v>
      </c>
      <c r="B130" s="120" t="s">
        <v>385</v>
      </c>
      <c r="C130" s="120">
        <v>7</v>
      </c>
      <c r="D130" s="121">
        <v>2.5</v>
      </c>
      <c r="E130" s="120" t="s">
        <v>374</v>
      </c>
      <c r="F130" s="120" t="s">
        <v>375</v>
      </c>
      <c r="G130" s="120">
        <v>0.47499999999999998</v>
      </c>
      <c r="H130" s="120"/>
      <c r="I130" s="121">
        <f t="shared" si="34"/>
        <v>0</v>
      </c>
      <c r="J130" s="121">
        <f t="shared" si="35"/>
        <v>2.0250000000000004</v>
      </c>
      <c r="K130" s="122">
        <f t="shared" si="36"/>
        <v>7.3102500000000008</v>
      </c>
      <c r="L130" s="120">
        <v>0.15</v>
      </c>
      <c r="M130" s="120">
        <v>0.15</v>
      </c>
      <c r="N130" s="120"/>
      <c r="O130" s="120">
        <f t="shared" si="37"/>
        <v>2.2499999999999999E-2</v>
      </c>
      <c r="P130" s="120">
        <v>400</v>
      </c>
      <c r="Q130" s="122">
        <f t="shared" si="38"/>
        <v>4.9382716049382713</v>
      </c>
      <c r="R130" s="119" t="str">
        <f t="shared" si="39"/>
        <v>ok</v>
      </c>
    </row>
    <row r="131" spans="1:18">
      <c r="A131" s="120">
        <v>70</v>
      </c>
      <c r="B131" s="120" t="s">
        <v>385</v>
      </c>
      <c r="C131" s="120">
        <v>7</v>
      </c>
      <c r="D131" s="121">
        <v>2</v>
      </c>
      <c r="E131" s="120" t="s">
        <v>376</v>
      </c>
      <c r="F131" s="120" t="s">
        <v>377</v>
      </c>
      <c r="G131" s="120"/>
      <c r="H131" s="120"/>
      <c r="I131" s="121">
        <f t="shared" si="34"/>
        <v>2</v>
      </c>
      <c r="J131" s="121">
        <f t="shared" si="35"/>
        <v>0</v>
      </c>
      <c r="K131" s="122">
        <f t="shared" si="36"/>
        <v>0</v>
      </c>
      <c r="L131" s="120"/>
      <c r="M131" s="120"/>
      <c r="N131" s="123">
        <v>0.15</v>
      </c>
      <c r="O131" s="123">
        <f t="shared" si="37"/>
        <v>1.7671443749999998E-2</v>
      </c>
      <c r="P131" s="120">
        <v>200</v>
      </c>
      <c r="Q131" s="122">
        <f t="shared" si="38"/>
        <v>3.1438040004827315</v>
      </c>
      <c r="R131" s="119" t="str">
        <f t="shared" si="39"/>
        <v>ok</v>
      </c>
    </row>
    <row r="132" spans="1:18">
      <c r="A132" s="120">
        <v>71</v>
      </c>
      <c r="B132" s="120" t="s">
        <v>385</v>
      </c>
      <c r="C132" s="120">
        <v>8</v>
      </c>
      <c r="D132" s="121">
        <v>3.5</v>
      </c>
      <c r="E132" s="120" t="s">
        <v>374</v>
      </c>
      <c r="F132" s="120" t="s">
        <v>375</v>
      </c>
      <c r="G132" s="120">
        <v>0.47499999999999998</v>
      </c>
      <c r="H132" s="120"/>
      <c r="I132" s="121">
        <f t="shared" si="34"/>
        <v>0</v>
      </c>
      <c r="J132" s="121">
        <f t="shared" si="35"/>
        <v>2.8350000000000004</v>
      </c>
      <c r="K132" s="122">
        <f t="shared" si="36"/>
        <v>10.234350000000003</v>
      </c>
      <c r="L132" s="120">
        <v>0.15</v>
      </c>
      <c r="M132" s="121">
        <v>0.15</v>
      </c>
      <c r="N132" s="120"/>
      <c r="O132" s="120">
        <f t="shared" si="37"/>
        <v>2.2499999999999999E-2</v>
      </c>
      <c r="P132" s="120">
        <v>600</v>
      </c>
      <c r="Q132" s="122">
        <f t="shared" si="38"/>
        <v>7.4074074074074074</v>
      </c>
      <c r="R132" s="119" t="str">
        <f t="shared" si="39"/>
        <v>ok</v>
      </c>
    </row>
    <row r="133" spans="1:18">
      <c r="A133" s="120">
        <v>72</v>
      </c>
      <c r="B133" s="120" t="s">
        <v>385</v>
      </c>
      <c r="C133" s="120">
        <v>8</v>
      </c>
      <c r="D133" s="121">
        <v>2</v>
      </c>
      <c r="E133" s="120" t="s">
        <v>376</v>
      </c>
      <c r="F133" s="120" t="s">
        <v>377</v>
      </c>
      <c r="G133" s="120"/>
      <c r="H133" s="120"/>
      <c r="I133" s="121">
        <f t="shared" si="34"/>
        <v>2</v>
      </c>
      <c r="J133" s="121">
        <f t="shared" si="35"/>
        <v>0</v>
      </c>
      <c r="K133" s="122">
        <f t="shared" si="36"/>
        <v>0</v>
      </c>
      <c r="L133" s="120"/>
      <c r="M133" s="120"/>
      <c r="N133" s="123">
        <v>0.15</v>
      </c>
      <c r="O133" s="123">
        <f t="shared" si="37"/>
        <v>1.7671443749999998E-2</v>
      </c>
      <c r="P133" s="120">
        <v>200</v>
      </c>
      <c r="Q133" s="122">
        <f t="shared" si="38"/>
        <v>3.1438040004827315</v>
      </c>
      <c r="R133" s="119" t="str">
        <f t="shared" si="39"/>
        <v>ok</v>
      </c>
    </row>
    <row r="134" spans="1:18">
      <c r="A134" s="120">
        <v>73</v>
      </c>
      <c r="B134" s="120" t="s">
        <v>385</v>
      </c>
      <c r="C134" s="120">
        <v>9</v>
      </c>
      <c r="D134" s="121">
        <v>5.5</v>
      </c>
      <c r="E134" s="120" t="s">
        <v>374</v>
      </c>
      <c r="F134" s="120" t="s">
        <v>375</v>
      </c>
      <c r="G134" s="120">
        <v>0.47499999999999998</v>
      </c>
      <c r="H134" s="120"/>
      <c r="I134" s="121">
        <f t="shared" si="34"/>
        <v>0</v>
      </c>
      <c r="J134" s="121">
        <f t="shared" si="35"/>
        <v>4.4550000000000001</v>
      </c>
      <c r="K134" s="122">
        <f t="shared" si="36"/>
        <v>16.082549999999998</v>
      </c>
      <c r="L134" s="120">
        <v>0.15</v>
      </c>
      <c r="M134" s="121">
        <v>0.15</v>
      </c>
      <c r="N134" s="120"/>
      <c r="O134" s="120">
        <f t="shared" si="37"/>
        <v>2.2499999999999999E-2</v>
      </c>
      <c r="P134" s="120">
        <v>800</v>
      </c>
      <c r="Q134" s="122">
        <f t="shared" si="38"/>
        <v>9.8765432098765427</v>
      </c>
      <c r="R134" s="119" t="str">
        <f t="shared" si="39"/>
        <v>ok</v>
      </c>
    </row>
    <row r="135" spans="1:18">
      <c r="A135" s="120">
        <v>74</v>
      </c>
      <c r="B135" s="120" t="s">
        <v>385</v>
      </c>
      <c r="C135" s="120">
        <v>9</v>
      </c>
      <c r="D135" s="121">
        <v>2</v>
      </c>
      <c r="E135" s="120" t="s">
        <v>376</v>
      </c>
      <c r="F135" s="120" t="s">
        <v>377</v>
      </c>
      <c r="G135" s="120"/>
      <c r="H135" s="120"/>
      <c r="I135" s="121">
        <f t="shared" si="34"/>
        <v>2</v>
      </c>
      <c r="J135" s="121">
        <f t="shared" si="35"/>
        <v>0</v>
      </c>
      <c r="K135" s="122">
        <f t="shared" si="36"/>
        <v>0</v>
      </c>
      <c r="L135" s="120"/>
      <c r="M135" s="120"/>
      <c r="N135" s="123">
        <v>0.15</v>
      </c>
      <c r="O135" s="123">
        <f t="shared" si="37"/>
        <v>1.7671443749999998E-2</v>
      </c>
      <c r="P135" s="120">
        <v>200</v>
      </c>
      <c r="Q135" s="122">
        <f t="shared" si="38"/>
        <v>3.1438040004827315</v>
      </c>
      <c r="R135" s="119" t="str">
        <f t="shared" si="39"/>
        <v>ok</v>
      </c>
    </row>
    <row r="136" spans="1:18">
      <c r="A136" s="120">
        <v>75</v>
      </c>
      <c r="B136" s="120" t="s">
        <v>385</v>
      </c>
      <c r="C136" s="120">
        <v>10</v>
      </c>
      <c r="D136" s="121">
        <v>4</v>
      </c>
      <c r="E136" s="120" t="s">
        <v>374</v>
      </c>
      <c r="F136" s="120" t="s">
        <v>375</v>
      </c>
      <c r="G136" s="120">
        <v>0.47499999999999998</v>
      </c>
      <c r="H136" s="120"/>
      <c r="I136" s="121">
        <f t="shared" si="34"/>
        <v>0</v>
      </c>
      <c r="J136" s="121">
        <f t="shared" si="35"/>
        <v>3.78</v>
      </c>
      <c r="K136" s="122">
        <f t="shared" si="36"/>
        <v>13.645799999999999</v>
      </c>
      <c r="L136" s="120">
        <v>0.15</v>
      </c>
      <c r="M136" s="120">
        <v>0.2</v>
      </c>
      <c r="N136" s="120"/>
      <c r="O136" s="120">
        <f t="shared" si="37"/>
        <v>0.03</v>
      </c>
      <c r="P136" s="120">
        <v>1000</v>
      </c>
      <c r="Q136" s="122">
        <f t="shared" si="38"/>
        <v>9.2592592592592595</v>
      </c>
      <c r="R136" s="119" t="str">
        <f t="shared" si="39"/>
        <v>ok</v>
      </c>
    </row>
    <row r="137" spans="1:18">
      <c r="A137" s="120">
        <v>76</v>
      </c>
      <c r="B137" s="120" t="s">
        <v>385</v>
      </c>
      <c r="C137" s="120">
        <v>10</v>
      </c>
      <c r="D137" s="121">
        <v>2</v>
      </c>
      <c r="E137" s="120" t="s">
        <v>376</v>
      </c>
      <c r="F137" s="120" t="s">
        <v>377</v>
      </c>
      <c r="G137" s="120"/>
      <c r="H137" s="120"/>
      <c r="I137" s="121">
        <f t="shared" si="34"/>
        <v>2</v>
      </c>
      <c r="J137" s="121">
        <f t="shared" si="35"/>
        <v>0</v>
      </c>
      <c r="K137" s="122">
        <f t="shared" si="36"/>
        <v>0</v>
      </c>
      <c r="L137" s="120"/>
      <c r="M137" s="120"/>
      <c r="N137" s="123">
        <v>0.15</v>
      </c>
      <c r="O137" s="123">
        <f t="shared" si="37"/>
        <v>1.7671443749999998E-2</v>
      </c>
      <c r="P137" s="120">
        <v>200</v>
      </c>
      <c r="Q137" s="122">
        <f t="shared" si="38"/>
        <v>3.1438040004827315</v>
      </c>
      <c r="R137" s="119" t="str">
        <f t="shared" si="39"/>
        <v>ok</v>
      </c>
    </row>
    <row r="138" spans="1:18">
      <c r="A138" s="120">
        <v>77</v>
      </c>
      <c r="B138" s="120" t="s">
        <v>385</v>
      </c>
      <c r="C138" s="120">
        <v>11</v>
      </c>
      <c r="D138" s="121">
        <v>2</v>
      </c>
      <c r="E138" s="120" t="s">
        <v>374</v>
      </c>
      <c r="F138" s="120" t="s">
        <v>375</v>
      </c>
      <c r="G138" s="120">
        <v>0.47499999999999998</v>
      </c>
      <c r="H138" s="120"/>
      <c r="I138" s="121">
        <f t="shared" si="34"/>
        <v>0</v>
      </c>
      <c r="J138" s="121">
        <f t="shared" si="35"/>
        <v>2.7</v>
      </c>
      <c r="K138" s="122">
        <f t="shared" si="36"/>
        <v>9.7469999999999999</v>
      </c>
      <c r="L138" s="120">
        <v>0.15</v>
      </c>
      <c r="M138" s="120">
        <v>0.35</v>
      </c>
      <c r="N138" s="120"/>
      <c r="O138" s="120">
        <f t="shared" si="37"/>
        <v>5.2499999999999998E-2</v>
      </c>
      <c r="P138" s="120">
        <v>1800</v>
      </c>
      <c r="Q138" s="122">
        <f t="shared" si="38"/>
        <v>9.5238095238095237</v>
      </c>
      <c r="R138" s="119" t="str">
        <f t="shared" si="39"/>
        <v>ok</v>
      </c>
    </row>
    <row r="139" spans="1:18" ht="91.5">
      <c r="A139" s="120">
        <v>78</v>
      </c>
      <c r="B139" s="120" t="s">
        <v>385</v>
      </c>
      <c r="C139" s="120" t="s">
        <v>380</v>
      </c>
      <c r="D139" s="121"/>
      <c r="E139" s="120" t="s">
        <v>381</v>
      </c>
      <c r="F139" s="120" t="s">
        <v>375</v>
      </c>
      <c r="G139" s="120"/>
      <c r="H139" s="120">
        <v>9</v>
      </c>
      <c r="I139" s="121"/>
      <c r="J139" s="121"/>
      <c r="K139" s="122"/>
      <c r="L139" s="120"/>
      <c r="M139" s="120"/>
      <c r="N139" s="123"/>
      <c r="O139" s="123"/>
      <c r="P139" s="120"/>
      <c r="Q139" s="122"/>
    </row>
    <row r="140" spans="1:18" ht="30.75">
      <c r="A140" s="120">
        <v>79</v>
      </c>
      <c r="B140" s="120" t="s">
        <v>385</v>
      </c>
      <c r="C140" s="120" t="s">
        <v>380</v>
      </c>
      <c r="D140" s="121"/>
      <c r="E140" s="120" t="s">
        <v>382</v>
      </c>
      <c r="F140" s="120" t="s">
        <v>375</v>
      </c>
      <c r="G140" s="120"/>
      <c r="H140" s="120">
        <v>9</v>
      </c>
      <c r="I140" s="121"/>
      <c r="J140" s="121"/>
      <c r="K140" s="122"/>
      <c r="L140" s="120"/>
      <c r="M140" s="120"/>
      <c r="N140" s="123"/>
      <c r="O140" s="123"/>
      <c r="P140" s="120"/>
      <c r="Q140" s="122"/>
    </row>
    <row r="141" spans="1:18" ht="29.25">
      <c r="A141" s="118" t="s">
        <v>1</v>
      </c>
      <c r="B141" s="118" t="s">
        <v>8</v>
      </c>
      <c r="C141" s="118" t="s">
        <v>359</v>
      </c>
      <c r="D141" s="118" t="s">
        <v>383</v>
      </c>
      <c r="E141" s="118" t="s">
        <v>361</v>
      </c>
      <c r="F141" s="118" t="s">
        <v>362</v>
      </c>
      <c r="G141" s="118" t="s">
        <v>363</v>
      </c>
      <c r="H141" s="118" t="s">
        <v>364</v>
      </c>
      <c r="I141" s="118" t="s">
        <v>202</v>
      </c>
      <c r="J141" s="118" t="s">
        <v>365</v>
      </c>
      <c r="K141" s="118" t="s">
        <v>366</v>
      </c>
      <c r="L141" s="118" t="s">
        <v>367</v>
      </c>
      <c r="M141" s="118" t="s">
        <v>368</v>
      </c>
      <c r="N141" s="118" t="s">
        <v>369</v>
      </c>
      <c r="O141" s="118" t="s">
        <v>370</v>
      </c>
      <c r="P141" s="118" t="s">
        <v>371</v>
      </c>
      <c r="Q141" s="118" t="s">
        <v>372</v>
      </c>
    </row>
    <row r="142" spans="1:18">
      <c r="A142" s="120">
        <v>80</v>
      </c>
      <c r="B142" s="120" t="s">
        <v>386</v>
      </c>
      <c r="C142" s="120">
        <v>1</v>
      </c>
      <c r="D142" s="121">
        <v>17</v>
      </c>
      <c r="E142" s="120" t="s">
        <v>374</v>
      </c>
      <c r="F142" s="120" t="s">
        <v>375</v>
      </c>
      <c r="G142" s="120">
        <v>0.47499999999999998</v>
      </c>
      <c r="H142" s="120"/>
      <c r="I142" s="120"/>
      <c r="J142" s="121">
        <f t="shared" si="35"/>
        <v>13.77</v>
      </c>
      <c r="K142" s="122">
        <f t="shared" ref="K142:K160" si="40">J142*G142*7600/1000</f>
        <v>49.709699999999998</v>
      </c>
      <c r="L142" s="120">
        <v>0.15</v>
      </c>
      <c r="M142" s="120">
        <v>0.15</v>
      </c>
      <c r="N142" s="120"/>
      <c r="O142" s="120">
        <f t="shared" ref="O142:O160" si="41">MAX((L142*M142),(3.14159*(N142/2)^2))</f>
        <v>2.2499999999999999E-2</v>
      </c>
      <c r="P142" s="120">
        <v>500</v>
      </c>
      <c r="Q142" s="122">
        <f t="shared" si="38"/>
        <v>6.1728395061728403</v>
      </c>
      <c r="R142" s="119" t="str">
        <f t="shared" si="39"/>
        <v>ok</v>
      </c>
    </row>
    <row r="143" spans="1:18">
      <c r="A143" s="120">
        <v>81</v>
      </c>
      <c r="B143" s="120" t="s">
        <v>386</v>
      </c>
      <c r="C143" s="120">
        <v>1</v>
      </c>
      <c r="D143" s="121">
        <v>2</v>
      </c>
      <c r="E143" s="120" t="s">
        <v>376</v>
      </c>
      <c r="F143" s="120" t="s">
        <v>377</v>
      </c>
      <c r="G143" s="120"/>
      <c r="H143" s="120"/>
      <c r="I143" s="121">
        <f>IF(E143="Flexível - Circular",D143,0)</f>
        <v>2</v>
      </c>
      <c r="J143" s="121">
        <f t="shared" si="35"/>
        <v>0</v>
      </c>
      <c r="K143" s="122">
        <f t="shared" si="40"/>
        <v>0</v>
      </c>
      <c r="L143" s="120"/>
      <c r="M143" s="120"/>
      <c r="N143" s="123">
        <v>0.15</v>
      </c>
      <c r="O143" s="123">
        <f t="shared" si="41"/>
        <v>1.7671443749999998E-2</v>
      </c>
      <c r="P143" s="120">
        <v>500</v>
      </c>
      <c r="Q143" s="122">
        <f t="shared" si="38"/>
        <v>7.8595100012068286</v>
      </c>
      <c r="R143" s="119" t="str">
        <f t="shared" si="39"/>
        <v>ok</v>
      </c>
    </row>
    <row r="144" spans="1:18">
      <c r="A144" s="120">
        <v>82</v>
      </c>
      <c r="B144" s="120" t="s">
        <v>386</v>
      </c>
      <c r="C144" s="120">
        <v>2</v>
      </c>
      <c r="D144" s="121">
        <v>4.8</v>
      </c>
      <c r="E144" s="120" t="s">
        <v>374</v>
      </c>
      <c r="F144" s="120" t="s">
        <v>375</v>
      </c>
      <c r="G144" s="120">
        <v>0.47499999999999998</v>
      </c>
      <c r="H144" s="120"/>
      <c r="I144" s="120"/>
      <c r="J144" s="121">
        <f t="shared" si="35"/>
        <v>4.5360000000000005</v>
      </c>
      <c r="K144" s="122">
        <f t="shared" si="40"/>
        <v>16.374960000000002</v>
      </c>
      <c r="L144" s="120">
        <v>0.15</v>
      </c>
      <c r="M144" s="120">
        <v>0.2</v>
      </c>
      <c r="N144" s="120"/>
      <c r="O144" s="120">
        <f t="shared" si="41"/>
        <v>0.03</v>
      </c>
      <c r="P144" s="120">
        <v>1000</v>
      </c>
      <c r="Q144" s="122">
        <f t="shared" si="38"/>
        <v>9.2592592592592595</v>
      </c>
      <c r="R144" s="119" t="str">
        <f t="shared" si="39"/>
        <v>ok</v>
      </c>
    </row>
    <row r="145" spans="1:18">
      <c r="A145" s="120">
        <v>83</v>
      </c>
      <c r="B145" s="120" t="s">
        <v>386</v>
      </c>
      <c r="C145" s="120">
        <v>2</v>
      </c>
      <c r="D145" s="121">
        <v>2</v>
      </c>
      <c r="E145" s="120" t="s">
        <v>376</v>
      </c>
      <c r="F145" s="120" t="s">
        <v>377</v>
      </c>
      <c r="G145" s="120"/>
      <c r="H145" s="120"/>
      <c r="I145" s="121">
        <f t="shared" ref="I145" si="42">IF(E145="Flexível - Circular",D145,0)</f>
        <v>2</v>
      </c>
      <c r="J145" s="121">
        <f t="shared" si="35"/>
        <v>0</v>
      </c>
      <c r="K145" s="122">
        <f t="shared" si="40"/>
        <v>0</v>
      </c>
      <c r="L145" s="120"/>
      <c r="M145" s="120"/>
      <c r="N145" s="123">
        <v>0.15</v>
      </c>
      <c r="O145" s="123">
        <f t="shared" si="41"/>
        <v>1.7671443749999998E-2</v>
      </c>
      <c r="P145" s="120">
        <v>500</v>
      </c>
      <c r="Q145" s="122">
        <f t="shared" si="38"/>
        <v>7.8595100012068286</v>
      </c>
      <c r="R145" s="119" t="str">
        <f t="shared" si="39"/>
        <v>ok</v>
      </c>
    </row>
    <row r="146" spans="1:18">
      <c r="A146" s="120">
        <v>84</v>
      </c>
      <c r="B146" s="120" t="s">
        <v>386</v>
      </c>
      <c r="C146" s="120">
        <v>3</v>
      </c>
      <c r="D146" s="121">
        <v>4.8</v>
      </c>
      <c r="E146" s="120" t="s">
        <v>374</v>
      </c>
      <c r="F146" s="120" t="s">
        <v>375</v>
      </c>
      <c r="G146" s="120">
        <v>0.47499999999999998</v>
      </c>
      <c r="H146" s="120"/>
      <c r="I146" s="120"/>
      <c r="J146" s="121">
        <f t="shared" si="35"/>
        <v>5.8319999999999999</v>
      </c>
      <c r="K146" s="122">
        <f t="shared" si="40"/>
        <v>21.053519999999999</v>
      </c>
      <c r="L146" s="120">
        <v>0.15</v>
      </c>
      <c r="M146" s="120">
        <v>0.3</v>
      </c>
      <c r="N146" s="120"/>
      <c r="O146" s="120">
        <f t="shared" si="41"/>
        <v>4.4999999999999998E-2</v>
      </c>
      <c r="P146" s="120">
        <v>1500</v>
      </c>
      <c r="Q146" s="122">
        <f t="shared" si="38"/>
        <v>9.2592592592592595</v>
      </c>
      <c r="R146" s="119" t="str">
        <f t="shared" si="39"/>
        <v>ok</v>
      </c>
    </row>
    <row r="147" spans="1:18">
      <c r="A147" s="120">
        <v>85</v>
      </c>
      <c r="B147" s="120" t="s">
        <v>386</v>
      </c>
      <c r="C147" s="120">
        <v>3</v>
      </c>
      <c r="D147" s="121">
        <v>2</v>
      </c>
      <c r="E147" s="120" t="s">
        <v>376</v>
      </c>
      <c r="F147" s="120" t="s">
        <v>377</v>
      </c>
      <c r="G147" s="120"/>
      <c r="H147" s="120"/>
      <c r="I147" s="121">
        <f t="shared" ref="I147" si="43">IF(E147="Flexível - Circular",D147,0)</f>
        <v>2</v>
      </c>
      <c r="J147" s="121">
        <f t="shared" si="35"/>
        <v>0</v>
      </c>
      <c r="K147" s="122">
        <f t="shared" si="40"/>
        <v>0</v>
      </c>
      <c r="L147" s="120"/>
      <c r="M147" s="120"/>
      <c r="N147" s="123">
        <v>0.15</v>
      </c>
      <c r="O147" s="123">
        <f t="shared" si="41"/>
        <v>1.7671443749999998E-2</v>
      </c>
      <c r="P147" s="120">
        <v>500</v>
      </c>
      <c r="Q147" s="122">
        <f t="shared" si="38"/>
        <v>7.8595100012068286</v>
      </c>
      <c r="R147" s="119" t="str">
        <f t="shared" si="39"/>
        <v>ok</v>
      </c>
    </row>
    <row r="148" spans="1:18">
      <c r="A148" s="120">
        <v>86</v>
      </c>
      <c r="B148" s="120" t="s">
        <v>386</v>
      </c>
      <c r="C148" s="120">
        <v>4</v>
      </c>
      <c r="D148" s="121">
        <v>4.8</v>
      </c>
      <c r="E148" s="120" t="s">
        <v>374</v>
      </c>
      <c r="F148" s="120" t="s">
        <v>375</v>
      </c>
      <c r="G148" s="120">
        <v>0.47499999999999998</v>
      </c>
      <c r="H148" s="120"/>
      <c r="I148" s="120"/>
      <c r="J148" s="121">
        <f t="shared" si="35"/>
        <v>7.128000000000001</v>
      </c>
      <c r="K148" s="122">
        <f t="shared" si="40"/>
        <v>25.732080000000003</v>
      </c>
      <c r="L148" s="120">
        <v>0.15</v>
      </c>
      <c r="M148" s="120">
        <v>0.4</v>
      </c>
      <c r="N148" s="120"/>
      <c r="O148" s="120">
        <f t="shared" si="41"/>
        <v>0.06</v>
      </c>
      <c r="P148" s="120">
        <v>2000</v>
      </c>
      <c r="Q148" s="122">
        <f t="shared" si="38"/>
        <v>9.2592592592592595</v>
      </c>
      <c r="R148" s="119" t="str">
        <f t="shared" si="39"/>
        <v>ok</v>
      </c>
    </row>
    <row r="149" spans="1:18">
      <c r="A149" s="120">
        <v>87</v>
      </c>
      <c r="B149" s="120" t="s">
        <v>386</v>
      </c>
      <c r="C149" s="120">
        <v>4</v>
      </c>
      <c r="D149" s="121">
        <v>2</v>
      </c>
      <c r="E149" s="120" t="s">
        <v>376</v>
      </c>
      <c r="F149" s="120" t="s">
        <v>377</v>
      </c>
      <c r="G149" s="120"/>
      <c r="H149" s="120"/>
      <c r="I149" s="121">
        <f t="shared" ref="I149" si="44">IF(E149="Flexível - Circular",D149,0)</f>
        <v>2</v>
      </c>
      <c r="J149" s="121">
        <f t="shared" si="35"/>
        <v>0</v>
      </c>
      <c r="K149" s="122">
        <f t="shared" si="40"/>
        <v>0</v>
      </c>
      <c r="L149" s="120"/>
      <c r="M149" s="120"/>
      <c r="N149" s="123">
        <v>0.15</v>
      </c>
      <c r="O149" s="123">
        <f t="shared" si="41"/>
        <v>1.7671443749999998E-2</v>
      </c>
      <c r="P149" s="120">
        <v>500</v>
      </c>
      <c r="Q149" s="122">
        <f t="shared" si="38"/>
        <v>7.8595100012068286</v>
      </c>
      <c r="R149" s="119" t="str">
        <f t="shared" si="39"/>
        <v>ok</v>
      </c>
    </row>
    <row r="150" spans="1:18">
      <c r="A150" s="120">
        <v>88</v>
      </c>
      <c r="B150" s="120" t="s">
        <v>386</v>
      </c>
      <c r="C150" s="120">
        <v>5</v>
      </c>
      <c r="D150" s="121">
        <v>3.2</v>
      </c>
      <c r="E150" s="120" t="s">
        <v>374</v>
      </c>
      <c r="F150" s="120" t="s">
        <v>375</v>
      </c>
      <c r="G150" s="120">
        <v>0.47499999999999998</v>
      </c>
      <c r="H150" s="120"/>
      <c r="I150" s="120"/>
      <c r="J150" s="121">
        <f t="shared" si="35"/>
        <v>5.6160000000000005</v>
      </c>
      <c r="K150" s="122">
        <f t="shared" si="40"/>
        <v>20.273760000000003</v>
      </c>
      <c r="L150" s="120">
        <v>0.15</v>
      </c>
      <c r="M150" s="120">
        <v>0.5</v>
      </c>
      <c r="N150" s="120"/>
      <c r="O150" s="120">
        <f t="shared" si="41"/>
        <v>7.4999999999999997E-2</v>
      </c>
      <c r="P150" s="120">
        <v>2500</v>
      </c>
      <c r="Q150" s="122">
        <f t="shared" si="38"/>
        <v>9.2592592592592595</v>
      </c>
      <c r="R150" s="119" t="str">
        <f t="shared" si="39"/>
        <v>ok</v>
      </c>
    </row>
    <row r="151" spans="1:18">
      <c r="A151" s="120">
        <v>89</v>
      </c>
      <c r="B151" s="120" t="s">
        <v>386</v>
      </c>
      <c r="C151" s="120">
        <v>5</v>
      </c>
      <c r="D151" s="121">
        <v>2</v>
      </c>
      <c r="E151" s="120" t="s">
        <v>376</v>
      </c>
      <c r="F151" s="120" t="s">
        <v>377</v>
      </c>
      <c r="G151" s="120"/>
      <c r="H151" s="120"/>
      <c r="I151" s="121">
        <f t="shared" ref="I151" si="45">IF(E151="Flexível - Circular",D151,0)</f>
        <v>2</v>
      </c>
      <c r="J151" s="121">
        <f t="shared" si="35"/>
        <v>0</v>
      </c>
      <c r="K151" s="122">
        <f t="shared" si="40"/>
        <v>0</v>
      </c>
      <c r="L151" s="120"/>
      <c r="M151" s="120"/>
      <c r="N151" s="123">
        <v>0.15</v>
      </c>
      <c r="O151" s="123">
        <f t="shared" si="41"/>
        <v>1.7671443749999998E-2</v>
      </c>
      <c r="P151" s="120">
        <v>500</v>
      </c>
      <c r="Q151" s="122">
        <f t="shared" si="38"/>
        <v>7.8595100012068286</v>
      </c>
      <c r="R151" s="119" t="str">
        <f t="shared" si="39"/>
        <v>ok</v>
      </c>
    </row>
    <row r="152" spans="1:18">
      <c r="A152" s="120">
        <v>90</v>
      </c>
      <c r="B152" s="120" t="s">
        <v>386</v>
      </c>
      <c r="C152" s="120">
        <v>6</v>
      </c>
      <c r="D152" s="121">
        <v>6.4</v>
      </c>
      <c r="E152" s="120" t="s">
        <v>374</v>
      </c>
      <c r="F152" s="120" t="s">
        <v>375</v>
      </c>
      <c r="G152" s="120">
        <v>0.47499999999999998</v>
      </c>
      <c r="H152" s="120"/>
      <c r="I152" s="120"/>
      <c r="J152" s="121">
        <f t="shared" si="35"/>
        <v>12.960000000000003</v>
      </c>
      <c r="K152" s="122">
        <f t="shared" si="40"/>
        <v>46.785600000000002</v>
      </c>
      <c r="L152" s="120">
        <v>0.15</v>
      </c>
      <c r="M152" s="120">
        <v>0.6</v>
      </c>
      <c r="N152" s="120"/>
      <c r="O152" s="120">
        <f t="shared" si="41"/>
        <v>0.09</v>
      </c>
      <c r="P152" s="120">
        <v>3000</v>
      </c>
      <c r="Q152" s="122">
        <f t="shared" si="38"/>
        <v>9.2592592592592595</v>
      </c>
      <c r="R152" s="119" t="str">
        <f t="shared" si="39"/>
        <v>ok</v>
      </c>
    </row>
    <row r="153" spans="1:18">
      <c r="A153" s="120">
        <v>91</v>
      </c>
      <c r="B153" s="120" t="s">
        <v>386</v>
      </c>
      <c r="C153" s="120">
        <v>6</v>
      </c>
      <c r="D153" s="121">
        <v>2</v>
      </c>
      <c r="E153" s="120" t="s">
        <v>376</v>
      </c>
      <c r="F153" s="120" t="s">
        <v>377</v>
      </c>
      <c r="G153" s="120"/>
      <c r="H153" s="120"/>
      <c r="I153" s="121">
        <f t="shared" ref="I153" si="46">IF(E153="Flexível - Circular",D153,0)</f>
        <v>2</v>
      </c>
      <c r="J153" s="121">
        <f t="shared" si="35"/>
        <v>0</v>
      </c>
      <c r="K153" s="122">
        <f t="shared" si="40"/>
        <v>0</v>
      </c>
      <c r="L153" s="120"/>
      <c r="M153" s="120"/>
      <c r="N153" s="123">
        <v>0.15</v>
      </c>
      <c r="O153" s="123">
        <f t="shared" si="41"/>
        <v>1.7671443749999998E-2</v>
      </c>
      <c r="P153" s="120">
        <v>500</v>
      </c>
      <c r="Q153" s="122">
        <f t="shared" si="38"/>
        <v>7.8595100012068286</v>
      </c>
      <c r="R153" s="119" t="str">
        <f t="shared" si="39"/>
        <v>ok</v>
      </c>
    </row>
    <row r="154" spans="1:18">
      <c r="A154" s="120">
        <v>92</v>
      </c>
      <c r="B154" s="120" t="s">
        <v>386</v>
      </c>
      <c r="C154" s="120">
        <v>7</v>
      </c>
      <c r="D154" s="121">
        <v>4</v>
      </c>
      <c r="E154" s="120" t="s">
        <v>374</v>
      </c>
      <c r="F154" s="120" t="s">
        <v>375</v>
      </c>
      <c r="G154" s="120">
        <v>0.47499999999999998</v>
      </c>
      <c r="H154" s="120"/>
      <c r="I154" s="120"/>
      <c r="J154" s="121">
        <f t="shared" si="35"/>
        <v>8.64</v>
      </c>
      <c r="K154" s="122">
        <f t="shared" si="40"/>
        <v>31.1904</v>
      </c>
      <c r="L154" s="120">
        <v>0.15</v>
      </c>
      <c r="M154" s="120">
        <v>0.65</v>
      </c>
      <c r="N154" s="120"/>
      <c r="O154" s="120">
        <f t="shared" si="41"/>
        <v>9.7500000000000003E-2</v>
      </c>
      <c r="P154" s="120">
        <v>3500</v>
      </c>
      <c r="Q154" s="122">
        <f t="shared" si="38"/>
        <v>9.9715099715099704</v>
      </c>
      <c r="R154" s="119" t="str">
        <f t="shared" si="39"/>
        <v>ok</v>
      </c>
    </row>
    <row r="155" spans="1:18">
      <c r="A155" s="120">
        <v>93</v>
      </c>
      <c r="B155" s="120" t="s">
        <v>386</v>
      </c>
      <c r="C155" s="120">
        <v>7</v>
      </c>
      <c r="D155" s="121">
        <v>2</v>
      </c>
      <c r="E155" s="120" t="s">
        <v>376</v>
      </c>
      <c r="F155" s="120" t="s">
        <v>377</v>
      </c>
      <c r="G155" s="120"/>
      <c r="H155" s="120"/>
      <c r="I155" s="121">
        <f t="shared" ref="I155" si="47">IF(E155="Flexível - Circular",D155,0)</f>
        <v>2</v>
      </c>
      <c r="J155" s="121">
        <f t="shared" si="35"/>
        <v>0</v>
      </c>
      <c r="K155" s="122">
        <f t="shared" si="40"/>
        <v>0</v>
      </c>
      <c r="L155" s="120"/>
      <c r="M155" s="120"/>
      <c r="N155" s="123">
        <v>0.15</v>
      </c>
      <c r="O155" s="123">
        <f t="shared" si="41"/>
        <v>1.7671443749999998E-2</v>
      </c>
      <c r="P155" s="120">
        <v>500</v>
      </c>
      <c r="Q155" s="122">
        <f t="shared" si="38"/>
        <v>7.8595100012068286</v>
      </c>
      <c r="R155" s="119" t="str">
        <f t="shared" si="39"/>
        <v>ok</v>
      </c>
    </row>
    <row r="156" spans="1:18">
      <c r="A156" s="120">
        <v>94</v>
      </c>
      <c r="B156" s="120" t="s">
        <v>386</v>
      </c>
      <c r="C156" s="120">
        <v>8</v>
      </c>
      <c r="D156" s="121">
        <v>1.6</v>
      </c>
      <c r="E156" s="120" t="s">
        <v>374</v>
      </c>
      <c r="F156" s="120" t="s">
        <v>375</v>
      </c>
      <c r="G156" s="120">
        <v>0.47499999999999998</v>
      </c>
      <c r="H156" s="120"/>
      <c r="I156" s="120"/>
      <c r="J156" s="121">
        <f t="shared" si="35"/>
        <v>1.296</v>
      </c>
      <c r="K156" s="122">
        <f t="shared" si="40"/>
        <v>4.6785600000000001</v>
      </c>
      <c r="L156" s="120">
        <v>0.15</v>
      </c>
      <c r="M156" s="120">
        <v>0.15</v>
      </c>
      <c r="N156" s="120"/>
      <c r="O156" s="120">
        <f t="shared" si="41"/>
        <v>2.2499999999999999E-2</v>
      </c>
      <c r="P156" s="120">
        <v>500</v>
      </c>
      <c r="Q156" s="122">
        <f t="shared" si="38"/>
        <v>6.1728395061728403</v>
      </c>
      <c r="R156" s="119" t="str">
        <f t="shared" si="39"/>
        <v>ok</v>
      </c>
    </row>
    <row r="157" spans="1:18">
      <c r="A157" s="120">
        <v>95</v>
      </c>
      <c r="B157" s="120" t="s">
        <v>386</v>
      </c>
      <c r="C157" s="120">
        <v>8</v>
      </c>
      <c r="D157" s="121">
        <v>2</v>
      </c>
      <c r="E157" s="120" t="s">
        <v>376</v>
      </c>
      <c r="F157" s="120" t="s">
        <v>377</v>
      </c>
      <c r="G157" s="120"/>
      <c r="H157" s="120"/>
      <c r="I157" s="121">
        <f t="shared" ref="I157" si="48">IF(E157="Flexível - Circular",D157,0)</f>
        <v>2</v>
      </c>
      <c r="J157" s="121">
        <f t="shared" si="35"/>
        <v>0</v>
      </c>
      <c r="K157" s="122">
        <f t="shared" si="40"/>
        <v>0</v>
      </c>
      <c r="L157" s="120"/>
      <c r="M157" s="120"/>
      <c r="N157" s="123">
        <v>0.15</v>
      </c>
      <c r="O157" s="123">
        <f t="shared" si="41"/>
        <v>1.7671443749999998E-2</v>
      </c>
      <c r="P157" s="120">
        <v>500</v>
      </c>
      <c r="Q157" s="122">
        <f t="shared" si="38"/>
        <v>7.8595100012068286</v>
      </c>
      <c r="R157" s="119" t="str">
        <f t="shared" si="39"/>
        <v>ok</v>
      </c>
    </row>
    <row r="158" spans="1:18">
      <c r="A158" s="120">
        <v>96</v>
      </c>
      <c r="B158" s="120" t="s">
        <v>386</v>
      </c>
      <c r="C158" s="120">
        <v>9</v>
      </c>
      <c r="D158" s="121">
        <v>3.2</v>
      </c>
      <c r="E158" s="120" t="s">
        <v>374</v>
      </c>
      <c r="F158" s="120" t="s">
        <v>375</v>
      </c>
      <c r="G158" s="120">
        <v>0.47499999999999998</v>
      </c>
      <c r="H158" s="120"/>
      <c r="I158" s="120"/>
      <c r="J158" s="121">
        <f t="shared" si="35"/>
        <v>7.7760000000000016</v>
      </c>
      <c r="K158" s="122">
        <f t="shared" si="40"/>
        <v>28.071360000000006</v>
      </c>
      <c r="L158" s="120">
        <v>0.15</v>
      </c>
      <c r="M158" s="120">
        <v>0.75</v>
      </c>
      <c r="N158" s="120"/>
      <c r="O158" s="120">
        <f t="shared" si="41"/>
        <v>0.11249999999999999</v>
      </c>
      <c r="P158" s="120">
        <v>4000</v>
      </c>
      <c r="Q158" s="122">
        <f t="shared" si="38"/>
        <v>9.8765432098765444</v>
      </c>
      <c r="R158" s="119" t="str">
        <f t="shared" si="39"/>
        <v>ok</v>
      </c>
    </row>
    <row r="159" spans="1:18">
      <c r="A159" s="120">
        <v>97</v>
      </c>
      <c r="B159" s="120" t="s">
        <v>386</v>
      </c>
      <c r="C159" s="120">
        <v>9</v>
      </c>
      <c r="D159" s="121">
        <v>2</v>
      </c>
      <c r="E159" s="120" t="s">
        <v>376</v>
      </c>
      <c r="F159" s="120" t="s">
        <v>377</v>
      </c>
      <c r="G159" s="120"/>
      <c r="H159" s="120"/>
      <c r="I159" s="121">
        <f t="shared" ref="I159" si="49">IF(E159="Flexível - Circular",D159,0)</f>
        <v>2</v>
      </c>
      <c r="J159" s="121">
        <f t="shared" si="35"/>
        <v>0</v>
      </c>
      <c r="K159" s="122">
        <f t="shared" si="40"/>
        <v>0</v>
      </c>
      <c r="L159" s="120"/>
      <c r="M159" s="120"/>
      <c r="N159" s="123">
        <v>0.15</v>
      </c>
      <c r="O159" s="123">
        <f t="shared" si="41"/>
        <v>1.7671443749999998E-2</v>
      </c>
      <c r="P159" s="120">
        <v>500</v>
      </c>
      <c r="Q159" s="122">
        <f t="shared" si="38"/>
        <v>7.8595100012068286</v>
      </c>
      <c r="R159" s="119" t="str">
        <f t="shared" si="39"/>
        <v>ok</v>
      </c>
    </row>
    <row r="160" spans="1:18">
      <c r="A160" s="120">
        <v>98</v>
      </c>
      <c r="B160" s="120" t="s">
        <v>386</v>
      </c>
      <c r="C160" s="120">
        <v>10</v>
      </c>
      <c r="D160" s="121">
        <v>1</v>
      </c>
      <c r="E160" s="120" t="s">
        <v>374</v>
      </c>
      <c r="F160" s="120" t="s">
        <v>375</v>
      </c>
      <c r="G160" s="120">
        <v>0.47499999999999998</v>
      </c>
      <c r="H160" s="120"/>
      <c r="I160" s="120"/>
      <c r="J160" s="121">
        <f t="shared" si="35"/>
        <v>2.7</v>
      </c>
      <c r="K160" s="122">
        <f t="shared" si="40"/>
        <v>9.7469999999999999</v>
      </c>
      <c r="L160" s="120">
        <v>0.15</v>
      </c>
      <c r="M160" s="120">
        <v>0.85</v>
      </c>
      <c r="N160" s="120"/>
      <c r="O160" s="120">
        <f t="shared" si="41"/>
        <v>0.1275</v>
      </c>
      <c r="P160" s="120">
        <v>4500</v>
      </c>
      <c r="Q160" s="122">
        <f t="shared" si="38"/>
        <v>9.8039215686274517</v>
      </c>
      <c r="R160" s="119" t="str">
        <f t="shared" si="39"/>
        <v>ok</v>
      </c>
    </row>
    <row r="161" spans="1:17" ht="91.5">
      <c r="A161" s="120">
        <v>99</v>
      </c>
      <c r="B161" s="120" t="s">
        <v>386</v>
      </c>
      <c r="C161" s="120" t="s">
        <v>380</v>
      </c>
      <c r="D161" s="121"/>
      <c r="E161" s="120" t="s">
        <v>381</v>
      </c>
      <c r="F161" s="120" t="s">
        <v>375</v>
      </c>
      <c r="G161" s="120"/>
      <c r="H161" s="120">
        <v>9</v>
      </c>
      <c r="I161" s="121"/>
      <c r="J161" s="121"/>
      <c r="K161" s="122"/>
      <c r="L161" s="120"/>
      <c r="M161" s="120"/>
      <c r="N161" s="123"/>
      <c r="O161" s="123"/>
      <c r="P161" s="120"/>
      <c r="Q161" s="122"/>
    </row>
    <row r="162" spans="1:17" ht="30.75">
      <c r="A162" s="120">
        <v>100</v>
      </c>
      <c r="B162" s="120" t="s">
        <v>386</v>
      </c>
      <c r="C162" s="120" t="s">
        <v>380</v>
      </c>
      <c r="D162" s="121"/>
      <c r="E162" s="120" t="s">
        <v>382</v>
      </c>
      <c r="F162" s="120" t="s">
        <v>375</v>
      </c>
      <c r="G162" s="120"/>
      <c r="H162" s="120">
        <v>9</v>
      </c>
      <c r="I162" s="121"/>
      <c r="J162" s="121"/>
      <c r="K162" s="122"/>
      <c r="L162" s="120"/>
      <c r="M162" s="120"/>
      <c r="N162" s="123"/>
      <c r="O162" s="123"/>
      <c r="P162" s="120"/>
      <c r="Q162" s="122"/>
    </row>
    <row r="163" spans="1:17">
      <c r="B163" s="120"/>
    </row>
    <row r="164" spans="1:17">
      <c r="B164" s="120"/>
    </row>
    <row r="165" spans="1:17" ht="29.25">
      <c r="B165" s="118" t="s">
        <v>8</v>
      </c>
      <c r="C165" s="125" t="s">
        <v>361</v>
      </c>
      <c r="D165" s="125"/>
      <c r="E165" s="125"/>
      <c r="F165" s="118" t="s">
        <v>362</v>
      </c>
      <c r="G165" s="118" t="s">
        <v>363</v>
      </c>
      <c r="H165" s="118" t="s">
        <v>364</v>
      </c>
      <c r="I165" s="118" t="s">
        <v>202</v>
      </c>
      <c r="J165" s="118" t="s">
        <v>365</v>
      </c>
      <c r="K165" s="118" t="s">
        <v>366</v>
      </c>
    </row>
    <row r="166" spans="1:17" ht="35.25" customHeight="1">
      <c r="B166" s="125" t="s">
        <v>379</v>
      </c>
      <c r="C166" s="126" t="s">
        <v>387</v>
      </c>
      <c r="D166" s="126"/>
      <c r="E166" s="126"/>
      <c r="F166" s="120" t="s">
        <v>377</v>
      </c>
      <c r="G166" s="127"/>
      <c r="H166" s="127"/>
      <c r="I166" s="128">
        <f>SUM(I62:I79)</f>
        <v>14</v>
      </c>
      <c r="J166" s="128"/>
      <c r="K166" s="128"/>
    </row>
    <row r="167" spans="1:17" ht="35.25" customHeight="1">
      <c r="B167" s="125"/>
      <c r="C167" s="126" t="s">
        <v>388</v>
      </c>
      <c r="D167" s="126"/>
      <c r="E167" s="126"/>
      <c r="F167" s="120" t="s">
        <v>375</v>
      </c>
      <c r="G167" s="127">
        <v>0.47499999999999998</v>
      </c>
      <c r="H167" s="127"/>
      <c r="I167" s="127"/>
      <c r="J167" s="128">
        <f>SUM(J62:J79)</f>
        <v>47.182500000000012</v>
      </c>
      <c r="K167" s="128">
        <f>SUM(K62:K79)</f>
        <v>170.32882499999999</v>
      </c>
    </row>
    <row r="168" spans="1:17" ht="45" customHeight="1">
      <c r="B168" s="125"/>
      <c r="C168" s="126" t="s">
        <v>381</v>
      </c>
      <c r="D168" s="126"/>
      <c r="E168" s="126"/>
      <c r="F168" s="120" t="s">
        <v>375</v>
      </c>
      <c r="G168" s="127">
        <v>0.47499999999999998</v>
      </c>
      <c r="H168" s="127">
        <f>H78</f>
        <v>8</v>
      </c>
      <c r="I168" s="127"/>
      <c r="J168" s="127"/>
      <c r="K168" s="127"/>
    </row>
    <row r="169" spans="1:17" ht="35.25" customHeight="1">
      <c r="B169" s="125"/>
      <c r="C169" s="126" t="s">
        <v>382</v>
      </c>
      <c r="D169" s="126"/>
      <c r="E169" s="126"/>
      <c r="F169" s="120" t="s">
        <v>375</v>
      </c>
      <c r="G169" s="127">
        <v>0.47499999999999998</v>
      </c>
      <c r="H169" s="127">
        <f>H79</f>
        <v>8</v>
      </c>
      <c r="I169" s="127"/>
      <c r="J169" s="127"/>
      <c r="K169" s="127"/>
    </row>
    <row r="170" spans="1:17" ht="29.25">
      <c r="B170" s="118" t="s">
        <v>8</v>
      </c>
      <c r="C170" s="125" t="s">
        <v>361</v>
      </c>
      <c r="D170" s="125"/>
      <c r="E170" s="125"/>
      <c r="F170" s="118" t="s">
        <v>362</v>
      </c>
      <c r="G170" s="118" t="s">
        <v>363</v>
      </c>
      <c r="H170" s="118" t="s">
        <v>364</v>
      </c>
      <c r="I170" s="118" t="s">
        <v>202</v>
      </c>
      <c r="J170" s="118" t="s">
        <v>365</v>
      </c>
      <c r="K170" s="118" t="s">
        <v>366</v>
      </c>
    </row>
    <row r="171" spans="1:17" ht="35.25" customHeight="1">
      <c r="B171" s="125" t="s">
        <v>384</v>
      </c>
      <c r="C171" s="126" t="s">
        <v>387</v>
      </c>
      <c r="D171" s="126"/>
      <c r="E171" s="126"/>
      <c r="F171" s="120" t="s">
        <v>377</v>
      </c>
      <c r="G171" s="127"/>
      <c r="H171" s="127"/>
      <c r="I171" s="128">
        <f>SUM(I81:I117)</f>
        <v>32</v>
      </c>
      <c r="J171" s="128"/>
      <c r="K171" s="128"/>
    </row>
    <row r="172" spans="1:17" ht="35.25" customHeight="1">
      <c r="B172" s="125"/>
      <c r="C172" s="126" t="s">
        <v>388</v>
      </c>
      <c r="D172" s="126"/>
      <c r="E172" s="126"/>
      <c r="F172" s="120" t="s">
        <v>375</v>
      </c>
      <c r="G172" s="127">
        <v>0.47499999999999998</v>
      </c>
      <c r="H172" s="127"/>
      <c r="I172" s="127"/>
      <c r="J172" s="128">
        <f>SUM(J81:J117)</f>
        <v>42.039000000000001</v>
      </c>
      <c r="K172" s="128">
        <f>SUM(K81:K117)</f>
        <v>151.76079000000001</v>
      </c>
    </row>
    <row r="173" spans="1:17" ht="45" customHeight="1">
      <c r="B173" s="125"/>
      <c r="C173" s="126" t="s">
        <v>381</v>
      </c>
      <c r="D173" s="126"/>
      <c r="E173" s="126"/>
      <c r="F173" s="120" t="s">
        <v>375</v>
      </c>
      <c r="G173" s="127">
        <v>0.47499999999999998</v>
      </c>
      <c r="H173" s="127">
        <f>H116</f>
        <v>16</v>
      </c>
      <c r="I173" s="127"/>
      <c r="J173" s="127"/>
      <c r="K173" s="127"/>
    </row>
    <row r="174" spans="1:17" ht="35.25" customHeight="1">
      <c r="B174" s="125"/>
      <c r="C174" s="126" t="s">
        <v>382</v>
      </c>
      <c r="D174" s="126"/>
      <c r="E174" s="126"/>
      <c r="F174" s="120" t="s">
        <v>375</v>
      </c>
      <c r="G174" s="127">
        <v>0.47499999999999998</v>
      </c>
      <c r="H174" s="127">
        <f>H117</f>
        <v>16</v>
      </c>
      <c r="I174" s="127"/>
      <c r="J174" s="127"/>
      <c r="K174" s="127"/>
    </row>
    <row r="175" spans="1:17" ht="29.25">
      <c r="B175" s="118" t="s">
        <v>8</v>
      </c>
      <c r="C175" s="125" t="s">
        <v>361</v>
      </c>
      <c r="D175" s="125"/>
      <c r="E175" s="125"/>
      <c r="F175" s="118" t="s">
        <v>362</v>
      </c>
      <c r="G175" s="118" t="s">
        <v>363</v>
      </c>
      <c r="H175" s="118" t="s">
        <v>364</v>
      </c>
      <c r="I175" s="118" t="s">
        <v>202</v>
      </c>
      <c r="J175" s="118" t="s">
        <v>365</v>
      </c>
      <c r="K175" s="118" t="s">
        <v>366</v>
      </c>
    </row>
    <row r="176" spans="1:17" ht="35.25" customHeight="1">
      <c r="B176" s="125" t="s">
        <v>385</v>
      </c>
      <c r="C176" s="126" t="s">
        <v>387</v>
      </c>
      <c r="D176" s="126"/>
      <c r="E176" s="126"/>
      <c r="F176" s="120" t="s">
        <v>377</v>
      </c>
      <c r="G176" s="127"/>
      <c r="H176" s="127"/>
      <c r="I176" s="128">
        <f>SUM(I119:I140)</f>
        <v>18</v>
      </c>
      <c r="J176" s="128"/>
      <c r="K176" s="128"/>
    </row>
    <row r="177" spans="2:11" ht="35.25" customHeight="1">
      <c r="B177" s="125"/>
      <c r="C177" s="126" t="s">
        <v>388</v>
      </c>
      <c r="D177" s="126"/>
      <c r="E177" s="126"/>
      <c r="F177" s="120" t="s">
        <v>375</v>
      </c>
      <c r="G177" s="127">
        <v>0.47499999999999998</v>
      </c>
      <c r="H177" s="127"/>
      <c r="I177" s="127"/>
      <c r="J177" s="128">
        <f>SUM(J119:J140)</f>
        <v>31.59</v>
      </c>
      <c r="K177" s="128">
        <f>SUM(K119:K140)</f>
        <v>114.03989999999999</v>
      </c>
    </row>
    <row r="178" spans="2:11" ht="45" customHeight="1">
      <c r="B178" s="125"/>
      <c r="C178" s="126" t="s">
        <v>381</v>
      </c>
      <c r="D178" s="126"/>
      <c r="E178" s="126"/>
      <c r="F178" s="120" t="s">
        <v>375</v>
      </c>
      <c r="G178" s="127">
        <v>0.47499999999999998</v>
      </c>
      <c r="H178" s="127">
        <f>H139</f>
        <v>9</v>
      </c>
      <c r="I178" s="127"/>
      <c r="J178" s="127"/>
      <c r="K178" s="127"/>
    </row>
    <row r="179" spans="2:11" ht="35.25" customHeight="1">
      <c r="B179" s="125"/>
      <c r="C179" s="126" t="s">
        <v>382</v>
      </c>
      <c r="D179" s="126"/>
      <c r="E179" s="126"/>
      <c r="F179" s="120" t="s">
        <v>375</v>
      </c>
      <c r="G179" s="127">
        <v>0.47499999999999998</v>
      </c>
      <c r="H179" s="127">
        <f>H140</f>
        <v>9</v>
      </c>
      <c r="I179" s="127"/>
      <c r="J179" s="127"/>
      <c r="K179" s="127"/>
    </row>
    <row r="180" spans="2:11" ht="29.25">
      <c r="B180" s="118" t="s">
        <v>8</v>
      </c>
      <c r="C180" s="125" t="s">
        <v>361</v>
      </c>
      <c r="D180" s="125"/>
      <c r="E180" s="125"/>
      <c r="F180" s="118" t="s">
        <v>362</v>
      </c>
      <c r="G180" s="118" t="s">
        <v>363</v>
      </c>
      <c r="H180" s="118" t="s">
        <v>364</v>
      </c>
      <c r="I180" s="118" t="s">
        <v>202</v>
      </c>
      <c r="J180" s="118" t="s">
        <v>365</v>
      </c>
      <c r="K180" s="118" t="s">
        <v>366</v>
      </c>
    </row>
    <row r="181" spans="2:11" ht="35.25" customHeight="1">
      <c r="B181" s="125" t="s">
        <v>386</v>
      </c>
      <c r="C181" s="126" t="s">
        <v>387</v>
      </c>
      <c r="D181" s="126"/>
      <c r="E181" s="126"/>
      <c r="F181" s="120" t="s">
        <v>377</v>
      </c>
      <c r="G181" s="127"/>
      <c r="H181" s="127"/>
      <c r="I181" s="128">
        <f>SUM(I142:I162)</f>
        <v>18</v>
      </c>
      <c r="J181" s="128"/>
      <c r="K181" s="128"/>
    </row>
    <row r="182" spans="2:11" ht="35.25" customHeight="1">
      <c r="B182" s="125"/>
      <c r="C182" s="126" t="s">
        <v>388</v>
      </c>
      <c r="D182" s="126"/>
      <c r="E182" s="126"/>
      <c r="F182" s="120" t="s">
        <v>375</v>
      </c>
      <c r="G182" s="127">
        <v>0.47499999999999998</v>
      </c>
      <c r="H182" s="127"/>
      <c r="I182" s="127"/>
      <c r="J182" s="128">
        <f>SUM(J142:J162)</f>
        <v>70.254000000000005</v>
      </c>
      <c r="K182" s="128">
        <f>SUM(K142:K162)</f>
        <v>253.61694</v>
      </c>
    </row>
    <row r="183" spans="2:11" ht="45" customHeight="1">
      <c r="B183" s="125"/>
      <c r="C183" s="126" t="s">
        <v>381</v>
      </c>
      <c r="D183" s="126"/>
      <c r="E183" s="126"/>
      <c r="F183" s="120" t="s">
        <v>375</v>
      </c>
      <c r="G183" s="127">
        <v>0.47499999999999998</v>
      </c>
      <c r="H183" s="127">
        <f>H161</f>
        <v>9</v>
      </c>
      <c r="I183" s="127"/>
      <c r="J183" s="127"/>
      <c r="K183" s="127"/>
    </row>
    <row r="184" spans="2:11" ht="35.25" customHeight="1">
      <c r="B184" s="125"/>
      <c r="C184" s="126" t="s">
        <v>382</v>
      </c>
      <c r="D184" s="126"/>
      <c r="E184" s="126"/>
      <c r="F184" s="120" t="s">
        <v>375</v>
      </c>
      <c r="G184" s="127">
        <v>0.47499999999999998</v>
      </c>
      <c r="H184" s="127">
        <f>H162</f>
        <v>9</v>
      </c>
      <c r="I184" s="127"/>
      <c r="J184" s="127"/>
      <c r="K184" s="127"/>
    </row>
    <row r="185" spans="2:11" ht="29.25">
      <c r="B185" s="118" t="s">
        <v>8</v>
      </c>
      <c r="C185" s="125" t="s">
        <v>361</v>
      </c>
      <c r="D185" s="125"/>
      <c r="E185" s="125"/>
      <c r="F185" s="118" t="s">
        <v>362</v>
      </c>
      <c r="G185" s="118" t="s">
        <v>363</v>
      </c>
      <c r="H185" s="118" t="s">
        <v>364</v>
      </c>
      <c r="I185" s="118" t="s">
        <v>202</v>
      </c>
      <c r="J185" s="118" t="s">
        <v>365</v>
      </c>
      <c r="K185" s="118" t="s">
        <v>366</v>
      </c>
    </row>
    <row r="186" spans="2:11" ht="35.25" customHeight="1">
      <c r="B186" s="125" t="s">
        <v>389</v>
      </c>
      <c r="C186" s="126" t="s">
        <v>387</v>
      </c>
      <c r="D186" s="126"/>
      <c r="E186" s="126"/>
      <c r="F186" s="120" t="s">
        <v>377</v>
      </c>
      <c r="G186" s="127"/>
      <c r="H186" s="127"/>
      <c r="I186" s="128">
        <f>I181+I176+I171+I166</f>
        <v>82</v>
      </c>
      <c r="J186" s="128"/>
      <c r="K186" s="128"/>
    </row>
    <row r="187" spans="2:11" ht="35.25" customHeight="1">
      <c r="B187" s="125"/>
      <c r="C187" s="126" t="s">
        <v>388</v>
      </c>
      <c r="D187" s="126"/>
      <c r="E187" s="126"/>
      <c r="F187" s="120" t="s">
        <v>375</v>
      </c>
      <c r="G187" s="127">
        <v>0.47499999999999998</v>
      </c>
      <c r="H187" s="127"/>
      <c r="I187" s="127"/>
      <c r="J187" s="128">
        <f>J182+J177+J172+J167</f>
        <v>191.06550000000001</v>
      </c>
      <c r="K187" s="128">
        <f>K182+K177+K172+K167</f>
        <v>689.74645499999997</v>
      </c>
    </row>
    <row r="188" spans="2:11" ht="45" customHeight="1">
      <c r="B188" s="125"/>
      <c r="C188" s="126" t="s">
        <v>381</v>
      </c>
      <c r="D188" s="126"/>
      <c r="E188" s="126"/>
      <c r="F188" s="120" t="s">
        <v>375</v>
      </c>
      <c r="G188" s="127">
        <v>0.47499999999999998</v>
      </c>
      <c r="H188" s="127">
        <f>H183+H178+H173+H168</f>
        <v>42</v>
      </c>
      <c r="I188" s="127"/>
      <c r="J188" s="127"/>
      <c r="K188" s="127"/>
    </row>
    <row r="189" spans="2:11" ht="35.25" customHeight="1">
      <c r="B189" s="125"/>
      <c r="C189" s="126" t="s">
        <v>382</v>
      </c>
      <c r="D189" s="126"/>
      <c r="E189" s="126"/>
      <c r="F189" s="120" t="s">
        <v>375</v>
      </c>
      <c r="G189" s="127">
        <v>0.47499999999999998</v>
      </c>
      <c r="H189" s="127">
        <f>H184+H179+H174+H169</f>
        <v>42</v>
      </c>
      <c r="I189" s="127"/>
      <c r="J189" s="127"/>
      <c r="K189" s="127"/>
    </row>
  </sheetData>
  <mergeCells count="30">
    <mergeCell ref="C185:E185"/>
    <mergeCell ref="B186:B189"/>
    <mergeCell ref="C186:E186"/>
    <mergeCell ref="C187:E187"/>
    <mergeCell ref="C188:E188"/>
    <mergeCell ref="C189:E189"/>
    <mergeCell ref="C180:E180"/>
    <mergeCell ref="B181:B184"/>
    <mergeCell ref="C181:E181"/>
    <mergeCell ref="C182:E182"/>
    <mergeCell ref="C183:E183"/>
    <mergeCell ref="C184:E184"/>
    <mergeCell ref="C175:E175"/>
    <mergeCell ref="B176:B179"/>
    <mergeCell ref="C176:E176"/>
    <mergeCell ref="C177:E177"/>
    <mergeCell ref="C178:E178"/>
    <mergeCell ref="C179:E179"/>
    <mergeCell ref="C170:E170"/>
    <mergeCell ref="B171:B174"/>
    <mergeCell ref="C171:E171"/>
    <mergeCell ref="C172:E172"/>
    <mergeCell ref="C173:E173"/>
    <mergeCell ref="C174:E174"/>
    <mergeCell ref="C165:E165"/>
    <mergeCell ref="B166:B169"/>
    <mergeCell ref="C166:E166"/>
    <mergeCell ref="C167:E167"/>
    <mergeCell ref="C168:E168"/>
    <mergeCell ref="C169:E169"/>
  </mergeCells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F4C8C-163C-40F6-837A-F5C957706077}">
  <dimension ref="A2:R56"/>
  <sheetViews>
    <sheetView zoomScale="85" zoomScaleNormal="85" workbookViewId="0"/>
  </sheetViews>
  <sheetFormatPr defaultRowHeight="15"/>
  <cols>
    <col min="1" max="1" width="5.28515625" style="124" customWidth="1"/>
    <col min="2" max="2" width="20.5703125" style="124" customWidth="1"/>
    <col min="3" max="3" width="9.7109375" style="124" customWidth="1"/>
    <col min="4" max="4" width="13.42578125" style="124" customWidth="1"/>
    <col min="5" max="5" width="18" style="124" customWidth="1"/>
    <col min="6" max="6" width="17.28515625" style="124" customWidth="1"/>
    <col min="7" max="7" width="12.140625" style="124" customWidth="1"/>
    <col min="8" max="11" width="17.42578125" style="124" customWidth="1"/>
    <col min="12" max="13" width="7.85546875" style="124" customWidth="1"/>
    <col min="14" max="14" width="10" style="124" customWidth="1"/>
    <col min="15" max="15" width="11.42578125" style="124" customWidth="1"/>
    <col min="16" max="16" width="8.5703125" style="124" customWidth="1"/>
    <col min="17" max="17" width="11.85546875" style="124" customWidth="1"/>
    <col min="18" max="18" width="14.85546875" style="119" customWidth="1"/>
    <col min="19" max="34" width="9.140625" style="119"/>
    <col min="35" max="35" width="13.7109375" style="119" bestFit="1" customWidth="1"/>
    <col min="36" max="36" width="13.140625" style="119" bestFit="1" customWidth="1"/>
    <col min="37" max="16384" width="9.140625" style="119"/>
  </cols>
  <sheetData>
    <row r="2" spans="1:18" ht="29.25">
      <c r="A2" s="118" t="s">
        <v>1</v>
      </c>
      <c r="B2" s="118" t="s">
        <v>8</v>
      </c>
      <c r="C2" s="118" t="s">
        <v>359</v>
      </c>
      <c r="D2" s="118" t="s">
        <v>360</v>
      </c>
      <c r="E2" s="118" t="s">
        <v>361</v>
      </c>
      <c r="F2" s="118" t="s">
        <v>362</v>
      </c>
      <c r="G2" s="118" t="s">
        <v>363</v>
      </c>
      <c r="H2" s="118" t="s">
        <v>364</v>
      </c>
      <c r="I2" s="118" t="s">
        <v>202</v>
      </c>
      <c r="J2" s="118" t="s">
        <v>365</v>
      </c>
      <c r="K2" s="118" t="s">
        <v>366</v>
      </c>
      <c r="L2" s="118" t="s">
        <v>367</v>
      </c>
      <c r="M2" s="118" t="s">
        <v>368</v>
      </c>
      <c r="N2" s="118" t="s">
        <v>369</v>
      </c>
      <c r="O2" s="118" t="s">
        <v>370</v>
      </c>
      <c r="P2" s="118" t="s">
        <v>371</v>
      </c>
      <c r="Q2" s="118" t="s">
        <v>372</v>
      </c>
    </row>
    <row r="3" spans="1:18">
      <c r="A3" s="120">
        <v>1</v>
      </c>
      <c r="B3" s="120" t="s">
        <v>373</v>
      </c>
      <c r="C3" s="120">
        <v>1</v>
      </c>
      <c r="D3" s="121">
        <v>3.5</v>
      </c>
      <c r="E3" s="120" t="s">
        <v>376</v>
      </c>
      <c r="F3" s="120" t="s">
        <v>375</v>
      </c>
      <c r="G3" s="120"/>
      <c r="H3" s="120"/>
      <c r="I3" s="121">
        <f t="shared" ref="I3:I37" si="0">IF(E3="Flexível - Circular",D3,0)</f>
        <v>3.5</v>
      </c>
      <c r="J3" s="121">
        <f>IF(E3="Retangular - TDC",D3,0)*(2*L3+2*M3)*1.35</f>
        <v>0</v>
      </c>
      <c r="K3" s="122">
        <f t="shared" ref="K3:K37" si="1">J3*G3*7600/1000</f>
        <v>0</v>
      </c>
      <c r="L3" s="120"/>
      <c r="M3" s="120"/>
      <c r="N3" s="123">
        <v>0.13400000000000001</v>
      </c>
      <c r="O3" s="123">
        <f>MAX((L3*M3),(3.14159*(N3/2)^2))</f>
        <v>1.4102597510000002E-2</v>
      </c>
      <c r="P3" s="120">
        <v>200</v>
      </c>
      <c r="Q3" s="122">
        <f>P3/3600/O3</f>
        <v>3.9393846074215548</v>
      </c>
      <c r="R3" s="119" t="str">
        <f t="shared" ref="R3:R37" si="2">IF(Q3&lt;10,"ok","não")</f>
        <v>ok</v>
      </c>
    </row>
    <row r="4" spans="1:18">
      <c r="A4" s="120">
        <v>2</v>
      </c>
      <c r="B4" s="120" t="s">
        <v>373</v>
      </c>
      <c r="C4" s="120">
        <v>2</v>
      </c>
      <c r="D4" s="121">
        <v>3.5</v>
      </c>
      <c r="E4" s="120" t="s">
        <v>376</v>
      </c>
      <c r="F4" s="120" t="s">
        <v>377</v>
      </c>
      <c r="G4" s="120"/>
      <c r="H4" s="120"/>
      <c r="I4" s="121">
        <f t="shared" si="0"/>
        <v>3.5</v>
      </c>
      <c r="J4" s="121">
        <f>IF(E4="Retangular - TDC",D4,0)*(2*L4+2*M4)*1.35</f>
        <v>0</v>
      </c>
      <c r="K4" s="122">
        <f t="shared" si="1"/>
        <v>0</v>
      </c>
      <c r="L4" s="120"/>
      <c r="M4" s="120"/>
      <c r="N4" s="123">
        <v>0.13400000000000001</v>
      </c>
      <c r="O4" s="123">
        <f>MAX((L4*M4),(3.14159*(N4/2)^2))</f>
        <v>1.4102597510000002E-2</v>
      </c>
      <c r="P4" s="120">
        <v>200</v>
      </c>
      <c r="Q4" s="122">
        <f t="shared" ref="Q4:Q20" si="3">P4/3600/O4</f>
        <v>3.9393846074215548</v>
      </c>
      <c r="R4" s="119" t="str">
        <f t="shared" si="2"/>
        <v>ok</v>
      </c>
    </row>
    <row r="5" spans="1:18">
      <c r="A5" s="120">
        <v>3</v>
      </c>
      <c r="B5" s="120" t="s">
        <v>373</v>
      </c>
      <c r="C5" s="120">
        <v>3</v>
      </c>
      <c r="D5" s="121">
        <v>3.5</v>
      </c>
      <c r="E5" s="120" t="s">
        <v>376</v>
      </c>
      <c r="F5" s="120" t="s">
        <v>377</v>
      </c>
      <c r="G5" s="120"/>
      <c r="H5" s="120"/>
      <c r="I5" s="121">
        <f t="shared" si="0"/>
        <v>3.5</v>
      </c>
      <c r="J5" s="121">
        <f t="shared" ref="J5" si="4">IF(E5="Retangular - TDC",D5,0)*(2*L5+2*M5)*1.35</f>
        <v>0</v>
      </c>
      <c r="K5" s="122">
        <f t="shared" si="1"/>
        <v>0</v>
      </c>
      <c r="L5" s="120"/>
      <c r="M5" s="120"/>
      <c r="N5" s="123">
        <v>0.13400000000000001</v>
      </c>
      <c r="O5" s="123">
        <f t="shared" ref="O5" si="5">MAX((L5*M5),(3.14159*(N5/2)^2))</f>
        <v>1.4102597510000002E-2</v>
      </c>
      <c r="P5" s="120">
        <v>200</v>
      </c>
      <c r="Q5" s="122">
        <f t="shared" si="3"/>
        <v>3.9393846074215548</v>
      </c>
      <c r="R5" s="119" t="str">
        <f t="shared" si="2"/>
        <v>ok</v>
      </c>
    </row>
    <row r="6" spans="1:18">
      <c r="A6" s="120">
        <v>4</v>
      </c>
      <c r="B6" s="120" t="s">
        <v>373</v>
      </c>
      <c r="C6" s="120">
        <v>4</v>
      </c>
      <c r="D6" s="121">
        <v>3</v>
      </c>
      <c r="E6" s="120" t="s">
        <v>374</v>
      </c>
      <c r="F6" s="120" t="s">
        <v>375</v>
      </c>
      <c r="G6" s="120">
        <v>0.47499999999999998</v>
      </c>
      <c r="H6" s="120"/>
      <c r="I6" s="121">
        <f t="shared" si="0"/>
        <v>0</v>
      </c>
      <c r="J6" s="121">
        <f>IF(E6="Retangular - TDC",D6,0)*(2*L6+2*M6)*1.35</f>
        <v>2.4299999999999997</v>
      </c>
      <c r="K6" s="122">
        <f t="shared" si="1"/>
        <v>8.7722999999999978</v>
      </c>
      <c r="L6" s="120">
        <v>0.15</v>
      </c>
      <c r="M6" s="120">
        <v>0.15</v>
      </c>
      <c r="N6" s="123">
        <v>0.15</v>
      </c>
      <c r="O6" s="123">
        <f>MAX((L6*M6),(3.14159*(N6/2)^2))</f>
        <v>2.2499999999999999E-2</v>
      </c>
      <c r="P6" s="120">
        <v>600</v>
      </c>
      <c r="Q6" s="122">
        <f t="shared" si="3"/>
        <v>7.4074074074074074</v>
      </c>
      <c r="R6" s="119" t="str">
        <f t="shared" si="2"/>
        <v>ok</v>
      </c>
    </row>
    <row r="7" spans="1:18" ht="91.5">
      <c r="A7" s="120"/>
      <c r="B7" s="120" t="s">
        <v>373</v>
      </c>
      <c r="C7" s="120" t="s">
        <v>380</v>
      </c>
      <c r="D7" s="121"/>
      <c r="E7" s="120" t="s">
        <v>390</v>
      </c>
      <c r="F7" s="120" t="s">
        <v>375</v>
      </c>
      <c r="G7" s="120"/>
      <c r="H7" s="120">
        <v>3</v>
      </c>
      <c r="I7" s="121"/>
      <c r="J7" s="121"/>
      <c r="K7" s="122"/>
      <c r="L7" s="120"/>
      <c r="M7" s="120"/>
      <c r="N7" s="123"/>
      <c r="O7" s="123"/>
      <c r="P7" s="120"/>
      <c r="Q7" s="122"/>
    </row>
    <row r="8" spans="1:18" ht="30.75">
      <c r="A8" s="120"/>
      <c r="B8" s="120" t="s">
        <v>373</v>
      </c>
      <c r="C8" s="120" t="s">
        <v>380</v>
      </c>
      <c r="D8" s="121"/>
      <c r="E8" s="120" t="s">
        <v>391</v>
      </c>
      <c r="F8" s="120" t="s">
        <v>375</v>
      </c>
      <c r="G8" s="120"/>
      <c r="H8" s="120">
        <v>3</v>
      </c>
      <c r="I8" s="121"/>
      <c r="J8" s="121"/>
      <c r="K8" s="122"/>
      <c r="L8" s="120"/>
      <c r="M8" s="120"/>
      <c r="N8" s="123"/>
      <c r="O8" s="123"/>
      <c r="P8" s="120"/>
      <c r="Q8" s="122"/>
    </row>
    <row r="9" spans="1:18">
      <c r="A9" s="120">
        <v>5</v>
      </c>
      <c r="B9" s="120" t="s">
        <v>378</v>
      </c>
      <c r="C9" s="120">
        <v>1</v>
      </c>
      <c r="D9" s="121">
        <v>3.5</v>
      </c>
      <c r="E9" s="120" t="s">
        <v>376</v>
      </c>
      <c r="F9" s="120" t="s">
        <v>377</v>
      </c>
      <c r="G9" s="120"/>
      <c r="H9" s="120"/>
      <c r="I9" s="121">
        <f t="shared" si="0"/>
        <v>3.5</v>
      </c>
      <c r="J9" s="121">
        <f t="shared" ref="J9" si="6">IF(E9="Retangular - TDC",D9,0)*(2*L9+2*M9)*1.35</f>
        <v>0</v>
      </c>
      <c r="K9" s="122">
        <f t="shared" si="1"/>
        <v>0</v>
      </c>
      <c r="L9" s="120"/>
      <c r="M9" s="120"/>
      <c r="N9" s="123">
        <v>0.13400000000000001</v>
      </c>
      <c r="O9" s="123">
        <f t="shared" ref="O9" si="7">MAX((L9*M9),(3.14159*(N9/2)^2))</f>
        <v>1.4102597510000002E-2</v>
      </c>
      <c r="P9" s="120">
        <v>220</v>
      </c>
      <c r="Q9" s="122">
        <f t="shared" si="3"/>
        <v>4.3333230681637103</v>
      </c>
      <c r="R9" s="119" t="str">
        <f t="shared" si="2"/>
        <v>ok</v>
      </c>
    </row>
    <row r="10" spans="1:18">
      <c r="A10" s="120">
        <v>6</v>
      </c>
      <c r="B10" s="120" t="s">
        <v>378</v>
      </c>
      <c r="C10" s="120">
        <v>2</v>
      </c>
      <c r="D10" s="121">
        <v>4</v>
      </c>
      <c r="E10" s="120" t="s">
        <v>376</v>
      </c>
      <c r="F10" s="120" t="s">
        <v>377</v>
      </c>
      <c r="G10" s="120"/>
      <c r="H10" s="120"/>
      <c r="I10" s="121">
        <f t="shared" si="0"/>
        <v>4</v>
      </c>
      <c r="J10" s="121">
        <f>IF(E10="Retangular - TDC",D10,0)*(2*L10+2*M10)*1.35</f>
        <v>0</v>
      </c>
      <c r="K10" s="122">
        <f t="shared" si="1"/>
        <v>0</v>
      </c>
      <c r="L10" s="120"/>
      <c r="M10" s="120"/>
      <c r="N10" s="123">
        <v>0.13400000000000001</v>
      </c>
      <c r="O10" s="123">
        <f>MAX((L10*M10),(3.14159*(N10/2)^2))</f>
        <v>1.4102597510000002E-2</v>
      </c>
      <c r="P10" s="120">
        <v>110</v>
      </c>
      <c r="Q10" s="122">
        <f t="shared" si="3"/>
        <v>2.1666615340818551</v>
      </c>
      <c r="R10" s="119" t="str">
        <f t="shared" si="2"/>
        <v>ok</v>
      </c>
    </row>
    <row r="11" spans="1:18">
      <c r="A11" s="120">
        <v>7</v>
      </c>
      <c r="B11" s="120" t="s">
        <v>378</v>
      </c>
      <c r="C11" s="120">
        <v>3</v>
      </c>
      <c r="D11" s="121">
        <v>3.5</v>
      </c>
      <c r="E11" s="120" t="s">
        <v>376</v>
      </c>
      <c r="F11" s="120" t="s">
        <v>377</v>
      </c>
      <c r="G11" s="120"/>
      <c r="H11" s="120"/>
      <c r="I11" s="121">
        <f t="shared" si="0"/>
        <v>3.5</v>
      </c>
      <c r="J11" s="121">
        <f t="shared" ref="J11" si="8">IF(E11="Retangular - TDC",D11,0)*(2*L11+2*M11)*1.35</f>
        <v>0</v>
      </c>
      <c r="K11" s="122">
        <f t="shared" si="1"/>
        <v>0</v>
      </c>
      <c r="L11" s="120"/>
      <c r="M11" s="120"/>
      <c r="N11" s="123">
        <v>0.13400000000000001</v>
      </c>
      <c r="O11" s="123">
        <f t="shared" ref="O11" si="9">MAX((L11*M11),(3.14159*(N11/2)^2))</f>
        <v>1.4102597510000002E-2</v>
      </c>
      <c r="P11" s="120">
        <v>110</v>
      </c>
      <c r="Q11" s="122">
        <f t="shared" si="3"/>
        <v>2.1666615340818551</v>
      </c>
      <c r="R11" s="119" t="str">
        <f t="shared" si="2"/>
        <v>ok</v>
      </c>
    </row>
    <row r="12" spans="1:18">
      <c r="A12" s="120">
        <v>8</v>
      </c>
      <c r="B12" s="120" t="s">
        <v>378</v>
      </c>
      <c r="C12" s="120">
        <v>4</v>
      </c>
      <c r="D12" s="121">
        <v>2</v>
      </c>
      <c r="E12" s="120" t="s">
        <v>376</v>
      </c>
      <c r="F12" s="120" t="s">
        <v>377</v>
      </c>
      <c r="G12" s="120"/>
      <c r="H12" s="120"/>
      <c r="I12" s="121">
        <f t="shared" si="0"/>
        <v>2</v>
      </c>
      <c r="J12" s="121">
        <f>IF(E12="Retangular - TDC",D12,0)*(2*L12+2*M12)*1.35</f>
        <v>0</v>
      </c>
      <c r="K12" s="122">
        <f t="shared" si="1"/>
        <v>0</v>
      </c>
      <c r="L12" s="120"/>
      <c r="M12" s="120"/>
      <c r="N12" s="123">
        <v>0.13400000000000001</v>
      </c>
      <c r="O12" s="123">
        <f>MAX((L12*M12),(3.14159*(N12/2)^2))</f>
        <v>1.4102597510000002E-2</v>
      </c>
      <c r="P12" s="120">
        <v>220</v>
      </c>
      <c r="Q12" s="122">
        <f t="shared" si="3"/>
        <v>4.3333230681637103</v>
      </c>
      <c r="R12" s="119" t="str">
        <f t="shared" si="2"/>
        <v>ok</v>
      </c>
    </row>
    <row r="13" spans="1:18">
      <c r="A13" s="120">
        <v>9</v>
      </c>
      <c r="B13" s="120" t="s">
        <v>378</v>
      </c>
      <c r="C13" s="120">
        <v>5</v>
      </c>
      <c r="D13" s="121">
        <v>3.5</v>
      </c>
      <c r="E13" s="120" t="s">
        <v>376</v>
      </c>
      <c r="F13" s="120" t="s">
        <v>377</v>
      </c>
      <c r="G13" s="120"/>
      <c r="H13" s="120"/>
      <c r="I13" s="121">
        <f t="shared" si="0"/>
        <v>3.5</v>
      </c>
      <c r="J13" s="121">
        <f t="shared" ref="J13" si="10">IF(E13="Retangular - TDC",D13,0)*(2*L13+2*M13)*1.35</f>
        <v>0</v>
      </c>
      <c r="K13" s="122">
        <f t="shared" si="1"/>
        <v>0</v>
      </c>
      <c r="L13" s="120"/>
      <c r="M13" s="120"/>
      <c r="N13" s="123">
        <v>0.13400000000000001</v>
      </c>
      <c r="O13" s="123">
        <f>MAX((L13*M13),(3.14159*(N13/2)^2))</f>
        <v>1.4102597510000002E-2</v>
      </c>
      <c r="P13" s="120">
        <v>220</v>
      </c>
      <c r="Q13" s="122">
        <f t="shared" si="3"/>
        <v>4.3333230681637103</v>
      </c>
      <c r="R13" s="119" t="str">
        <f t="shared" si="2"/>
        <v>ok</v>
      </c>
    </row>
    <row r="14" spans="1:18">
      <c r="A14" s="120">
        <v>10</v>
      </c>
      <c r="B14" s="120" t="s">
        <v>378</v>
      </c>
      <c r="C14" s="120">
        <v>6</v>
      </c>
      <c r="D14" s="121">
        <v>2.5</v>
      </c>
      <c r="E14" s="120" t="s">
        <v>376</v>
      </c>
      <c r="F14" s="120" t="s">
        <v>377</v>
      </c>
      <c r="G14" s="120"/>
      <c r="H14" s="120"/>
      <c r="I14" s="121">
        <f t="shared" si="0"/>
        <v>2.5</v>
      </c>
      <c r="J14" s="121">
        <f>IF(E14="Retangular - TDC",D14,0)*(2*L14+2*M14)*1.35</f>
        <v>0</v>
      </c>
      <c r="K14" s="122">
        <f t="shared" si="1"/>
        <v>0</v>
      </c>
      <c r="L14" s="120"/>
      <c r="M14" s="120"/>
      <c r="N14" s="123">
        <v>0.13400000000000001</v>
      </c>
      <c r="O14" s="123">
        <f>MAX((L14*M14),(3.14159*(N14/2)^2))</f>
        <v>1.4102597510000002E-2</v>
      </c>
      <c r="P14" s="120">
        <v>110</v>
      </c>
      <c r="Q14" s="122">
        <f t="shared" si="3"/>
        <v>2.1666615340818551</v>
      </c>
      <c r="R14" s="119" t="str">
        <f t="shared" si="2"/>
        <v>ok</v>
      </c>
    </row>
    <row r="15" spans="1:18">
      <c r="A15" s="120">
        <v>11</v>
      </c>
      <c r="B15" s="120" t="s">
        <v>378</v>
      </c>
      <c r="C15" s="120">
        <v>7</v>
      </c>
      <c r="D15" s="121">
        <v>3.5</v>
      </c>
      <c r="E15" s="120" t="s">
        <v>376</v>
      </c>
      <c r="F15" s="120" t="s">
        <v>377</v>
      </c>
      <c r="G15" s="120"/>
      <c r="H15" s="120"/>
      <c r="I15" s="121">
        <f t="shared" si="0"/>
        <v>3.5</v>
      </c>
      <c r="J15" s="121">
        <f t="shared" ref="J15" si="11">IF(E15="Retangular - TDC",D15,0)*(2*L15+2*M15)*1.35</f>
        <v>0</v>
      </c>
      <c r="K15" s="122">
        <f t="shared" si="1"/>
        <v>0</v>
      </c>
      <c r="L15" s="120"/>
      <c r="M15" s="120"/>
      <c r="N15" s="123">
        <v>0.13400000000000001</v>
      </c>
      <c r="O15" s="123">
        <f t="shared" ref="O15" si="12">MAX((L15*M15),(3.14159*(N15/2)^2))</f>
        <v>1.4102597510000002E-2</v>
      </c>
      <c r="P15" s="120">
        <v>110</v>
      </c>
      <c r="Q15" s="122">
        <f t="shared" si="3"/>
        <v>2.1666615340818551</v>
      </c>
      <c r="R15" s="119" t="str">
        <f t="shared" si="2"/>
        <v>ok</v>
      </c>
    </row>
    <row r="16" spans="1:18">
      <c r="A16" s="120">
        <v>12</v>
      </c>
      <c r="B16" s="120" t="s">
        <v>378</v>
      </c>
      <c r="C16" s="120">
        <v>8</v>
      </c>
      <c r="D16" s="121">
        <v>2.5</v>
      </c>
      <c r="E16" s="120" t="s">
        <v>376</v>
      </c>
      <c r="F16" s="120" t="s">
        <v>377</v>
      </c>
      <c r="G16" s="120"/>
      <c r="H16" s="120"/>
      <c r="I16" s="121">
        <f t="shared" si="0"/>
        <v>2.5</v>
      </c>
      <c r="J16" s="121">
        <f>IF(E16="Retangular - TDC",D16,0)*(2*L16+2*M16)*1.35</f>
        <v>0</v>
      </c>
      <c r="K16" s="122">
        <f t="shared" si="1"/>
        <v>0</v>
      </c>
      <c r="L16" s="120"/>
      <c r="M16" s="120"/>
      <c r="N16" s="123">
        <v>0.13400000000000001</v>
      </c>
      <c r="O16" s="123">
        <f>MAX((L16*M16),(3.14159*(N16/2)^2))</f>
        <v>1.4102597510000002E-2</v>
      </c>
      <c r="P16" s="120">
        <v>110</v>
      </c>
      <c r="Q16" s="122">
        <f t="shared" si="3"/>
        <v>2.1666615340818551</v>
      </c>
      <c r="R16" s="119" t="str">
        <f t="shared" si="2"/>
        <v>ok</v>
      </c>
    </row>
    <row r="17" spans="1:18">
      <c r="A17" s="120">
        <v>13</v>
      </c>
      <c r="B17" s="120" t="s">
        <v>378</v>
      </c>
      <c r="C17" s="120">
        <v>9</v>
      </c>
      <c r="D17" s="121">
        <v>4</v>
      </c>
      <c r="E17" s="120" t="s">
        <v>376</v>
      </c>
      <c r="F17" s="120" t="s">
        <v>377</v>
      </c>
      <c r="G17" s="120"/>
      <c r="H17" s="120"/>
      <c r="I17" s="121">
        <f t="shared" si="0"/>
        <v>4</v>
      </c>
      <c r="J17" s="121">
        <f t="shared" ref="J17:J18" si="13">IF(E17="Retangular - TDC",D17,0)*(2*L17+2*M17)*1.35</f>
        <v>0</v>
      </c>
      <c r="K17" s="122">
        <f t="shared" si="1"/>
        <v>0</v>
      </c>
      <c r="L17" s="120"/>
      <c r="M17" s="120"/>
      <c r="N17" s="123">
        <v>0.13400000000000001</v>
      </c>
      <c r="O17" s="123">
        <f>MAX((L17*M17),(3.14159*(N17/2)^2))</f>
        <v>1.4102597510000002E-2</v>
      </c>
      <c r="P17" s="120">
        <v>220</v>
      </c>
      <c r="Q17" s="122">
        <f t="shared" si="3"/>
        <v>4.3333230681637103</v>
      </c>
      <c r="R17" s="119" t="str">
        <f t="shared" si="2"/>
        <v>ok</v>
      </c>
    </row>
    <row r="18" spans="1:18">
      <c r="A18" s="120">
        <v>14</v>
      </c>
      <c r="B18" s="120" t="s">
        <v>378</v>
      </c>
      <c r="C18" s="120">
        <v>10</v>
      </c>
      <c r="D18" s="121">
        <v>3.5</v>
      </c>
      <c r="E18" s="120" t="s">
        <v>376</v>
      </c>
      <c r="F18" s="120" t="s">
        <v>377</v>
      </c>
      <c r="G18" s="120"/>
      <c r="H18" s="120"/>
      <c r="I18" s="121">
        <f t="shared" si="0"/>
        <v>3.5</v>
      </c>
      <c r="J18" s="121">
        <f t="shared" si="13"/>
        <v>0</v>
      </c>
      <c r="K18" s="122">
        <f t="shared" si="1"/>
        <v>0</v>
      </c>
      <c r="L18" s="120"/>
      <c r="M18" s="120"/>
      <c r="N18" s="123">
        <v>0.13400000000000001</v>
      </c>
      <c r="O18" s="123">
        <f t="shared" ref="O18" si="14">MAX((L18*M18),(3.14159*(N18/2)^2))</f>
        <v>1.4102597510000002E-2</v>
      </c>
      <c r="P18" s="120">
        <v>110</v>
      </c>
      <c r="Q18" s="122">
        <f t="shared" si="3"/>
        <v>2.1666615340818551</v>
      </c>
      <c r="R18" s="119" t="str">
        <f t="shared" si="2"/>
        <v>ok</v>
      </c>
    </row>
    <row r="19" spans="1:18">
      <c r="A19" s="120">
        <v>15</v>
      </c>
      <c r="B19" s="120" t="s">
        <v>378</v>
      </c>
      <c r="C19" s="120">
        <v>11</v>
      </c>
      <c r="D19" s="121">
        <v>7.5</v>
      </c>
      <c r="E19" s="120" t="s">
        <v>376</v>
      </c>
      <c r="F19" s="120" t="s">
        <v>377</v>
      </c>
      <c r="G19" s="120"/>
      <c r="H19" s="120"/>
      <c r="I19" s="121">
        <f t="shared" si="0"/>
        <v>7.5</v>
      </c>
      <c r="J19" s="121">
        <f>IF(E19="Retangular - TDC",D19,0)*(2*L19+2*M19)*1.35</f>
        <v>0</v>
      </c>
      <c r="K19" s="122">
        <f t="shared" si="1"/>
        <v>0</v>
      </c>
      <c r="L19" s="120"/>
      <c r="M19" s="120"/>
      <c r="N19" s="123">
        <v>0.13400000000000001</v>
      </c>
      <c r="O19" s="123">
        <f>MAX((L19*M19),(3.14159*(N19/2)^2))</f>
        <v>1.4102597510000002E-2</v>
      </c>
      <c r="P19" s="120">
        <v>330</v>
      </c>
      <c r="Q19" s="122">
        <f t="shared" si="3"/>
        <v>6.499984602245565</v>
      </c>
      <c r="R19" s="119" t="str">
        <f t="shared" si="2"/>
        <v>ok</v>
      </c>
    </row>
    <row r="20" spans="1:18">
      <c r="A20" s="120">
        <v>16</v>
      </c>
      <c r="B20" s="120" t="s">
        <v>378</v>
      </c>
      <c r="C20" s="120">
        <v>12</v>
      </c>
      <c r="D20" s="121">
        <v>6</v>
      </c>
      <c r="E20" s="120" t="s">
        <v>376</v>
      </c>
      <c r="F20" s="120" t="s">
        <v>377</v>
      </c>
      <c r="G20" s="120"/>
      <c r="H20" s="120"/>
      <c r="I20" s="121">
        <f t="shared" si="0"/>
        <v>6</v>
      </c>
      <c r="J20" s="121">
        <f t="shared" ref="J20" si="15">IF(E20="Retangular - TDC",D20,0)*(2*L20+2*M20)*1.35</f>
        <v>0</v>
      </c>
      <c r="K20" s="122">
        <f t="shared" si="1"/>
        <v>0</v>
      </c>
      <c r="L20" s="120"/>
      <c r="M20" s="120"/>
      <c r="N20" s="123">
        <v>0.13400000000000001</v>
      </c>
      <c r="O20" s="123">
        <f>MAX((L20*M20),(3.14159*(N20/2)^2))</f>
        <v>1.4102597510000002E-2</v>
      </c>
      <c r="P20" s="120">
        <v>220</v>
      </c>
      <c r="Q20" s="122">
        <f t="shared" si="3"/>
        <v>4.3333230681637103</v>
      </c>
      <c r="R20" s="119" t="str">
        <f t="shared" si="2"/>
        <v>ok</v>
      </c>
    </row>
    <row r="21" spans="1:18">
      <c r="A21" s="120">
        <v>17</v>
      </c>
      <c r="B21" s="120" t="s">
        <v>378</v>
      </c>
      <c r="C21" s="120">
        <v>13</v>
      </c>
      <c r="D21" s="121">
        <v>3</v>
      </c>
      <c r="E21" s="120" t="s">
        <v>376</v>
      </c>
      <c r="F21" s="120" t="s">
        <v>377</v>
      </c>
      <c r="G21" s="120"/>
      <c r="H21" s="120"/>
      <c r="I21" s="121">
        <f t="shared" si="0"/>
        <v>3</v>
      </c>
      <c r="J21" s="121">
        <f>IF(E21="Retangular - TDC",D21,0)*(2*L21+2*M21)*1.35</f>
        <v>0</v>
      </c>
      <c r="K21" s="122">
        <f t="shared" si="1"/>
        <v>0</v>
      </c>
      <c r="L21" s="120"/>
      <c r="M21" s="120"/>
      <c r="N21" s="123">
        <v>0.13400000000000001</v>
      </c>
      <c r="O21" s="123">
        <f>MAX((L21*M21),(3.14159*(N21/2)^2))</f>
        <v>1.4102597510000002E-2</v>
      </c>
      <c r="P21" s="120">
        <v>220</v>
      </c>
      <c r="Q21" s="122">
        <f>P21/3600/O21</f>
        <v>4.3333230681637103</v>
      </c>
      <c r="R21" s="119" t="str">
        <f t="shared" si="2"/>
        <v>ok</v>
      </c>
    </row>
    <row r="22" spans="1:18">
      <c r="A22" s="120">
        <v>18</v>
      </c>
      <c r="B22" s="120" t="s">
        <v>378</v>
      </c>
      <c r="C22" s="120">
        <v>14</v>
      </c>
      <c r="D22" s="121">
        <v>5.5</v>
      </c>
      <c r="E22" s="120" t="s">
        <v>376</v>
      </c>
      <c r="F22" s="120" t="s">
        <v>377</v>
      </c>
      <c r="G22" s="120"/>
      <c r="H22" s="120"/>
      <c r="I22" s="121">
        <f t="shared" si="0"/>
        <v>5.5</v>
      </c>
      <c r="J22" s="121">
        <f>IF(E22="Retangular - TDC",D22,0)*(2*L22+2*M22)*1.35</f>
        <v>0</v>
      </c>
      <c r="K22" s="122">
        <f t="shared" si="1"/>
        <v>0</v>
      </c>
      <c r="L22" s="120"/>
      <c r="M22" s="120"/>
      <c r="N22" s="123">
        <v>0.13400000000000001</v>
      </c>
      <c r="O22" s="123">
        <f>MAX((L22*M22),(3.14159*(N22/2)^2))</f>
        <v>1.4102597510000002E-2</v>
      </c>
      <c r="P22" s="120">
        <v>110</v>
      </c>
      <c r="Q22" s="122">
        <f t="shared" ref="Q22:Q37" si="16">P22/3600/O22</f>
        <v>2.1666615340818551</v>
      </c>
      <c r="R22" s="119" t="str">
        <f t="shared" si="2"/>
        <v>ok</v>
      </c>
    </row>
    <row r="23" spans="1:18">
      <c r="A23" s="120">
        <v>19</v>
      </c>
      <c r="B23" s="120" t="s">
        <v>378</v>
      </c>
      <c r="C23" s="120">
        <v>15</v>
      </c>
      <c r="D23" s="121">
        <v>7.5</v>
      </c>
      <c r="E23" s="120" t="s">
        <v>376</v>
      </c>
      <c r="F23" s="120" t="s">
        <v>377</v>
      </c>
      <c r="G23" s="120"/>
      <c r="H23" s="120"/>
      <c r="I23" s="121">
        <f t="shared" si="0"/>
        <v>7.5</v>
      </c>
      <c r="J23" s="121">
        <f t="shared" ref="J23:J37" si="17">IF(E23="Retangular - TDC",D23,0)*(2*L23+2*M23)*1.35</f>
        <v>0</v>
      </c>
      <c r="K23" s="122">
        <f t="shared" si="1"/>
        <v>0</v>
      </c>
      <c r="L23" s="120"/>
      <c r="M23" s="120"/>
      <c r="N23" s="123">
        <v>0.13400000000000001</v>
      </c>
      <c r="O23" s="123">
        <f t="shared" ref="O23:O37" si="18">MAX((L23*M23),(3.14159*(N23/2)^2))</f>
        <v>1.4102597510000002E-2</v>
      </c>
      <c r="P23" s="120">
        <v>330</v>
      </c>
      <c r="Q23" s="122">
        <f t="shared" si="16"/>
        <v>6.499984602245565</v>
      </c>
      <c r="R23" s="119" t="str">
        <f t="shared" si="2"/>
        <v>ok</v>
      </c>
    </row>
    <row r="24" spans="1:18">
      <c r="A24" s="120">
        <v>20</v>
      </c>
      <c r="B24" s="120" t="s">
        <v>378</v>
      </c>
      <c r="C24" s="120">
        <v>16</v>
      </c>
      <c r="D24" s="121">
        <v>3.5</v>
      </c>
      <c r="E24" s="120" t="s">
        <v>376</v>
      </c>
      <c r="F24" s="120" t="s">
        <v>377</v>
      </c>
      <c r="G24" s="120"/>
      <c r="H24" s="120"/>
      <c r="I24" s="121">
        <f t="shared" si="0"/>
        <v>3.5</v>
      </c>
      <c r="J24" s="121">
        <f t="shared" si="17"/>
        <v>0</v>
      </c>
      <c r="K24" s="122">
        <f t="shared" si="1"/>
        <v>0</v>
      </c>
      <c r="L24" s="120"/>
      <c r="M24" s="120"/>
      <c r="N24" s="123">
        <v>0.13400000000000001</v>
      </c>
      <c r="O24" s="123">
        <f t="shared" si="18"/>
        <v>1.4102597510000002E-2</v>
      </c>
      <c r="P24" s="120">
        <v>220</v>
      </c>
      <c r="Q24" s="122">
        <f t="shared" si="16"/>
        <v>4.3333230681637103</v>
      </c>
      <c r="R24" s="119" t="str">
        <f t="shared" si="2"/>
        <v>ok</v>
      </c>
    </row>
    <row r="25" spans="1:18">
      <c r="A25" s="120">
        <v>21</v>
      </c>
      <c r="B25" s="120" t="s">
        <v>378</v>
      </c>
      <c r="C25" s="120">
        <v>17</v>
      </c>
      <c r="D25" s="121">
        <v>6</v>
      </c>
      <c r="E25" s="120" t="s">
        <v>376</v>
      </c>
      <c r="F25" s="120" t="s">
        <v>377</v>
      </c>
      <c r="G25" s="120"/>
      <c r="H25" s="120"/>
      <c r="I25" s="121">
        <f t="shared" si="0"/>
        <v>6</v>
      </c>
      <c r="J25" s="121">
        <f t="shared" si="17"/>
        <v>0</v>
      </c>
      <c r="K25" s="122">
        <f t="shared" si="1"/>
        <v>0</v>
      </c>
      <c r="L25" s="120"/>
      <c r="M25" s="120"/>
      <c r="N25" s="123">
        <v>0.13400000000000001</v>
      </c>
      <c r="O25" s="123">
        <f t="shared" si="18"/>
        <v>1.4102597510000002E-2</v>
      </c>
      <c r="P25" s="120">
        <v>110</v>
      </c>
      <c r="Q25" s="122">
        <f t="shared" si="16"/>
        <v>2.1666615340818551</v>
      </c>
      <c r="R25" s="119" t="str">
        <f t="shared" si="2"/>
        <v>ok</v>
      </c>
    </row>
    <row r="26" spans="1:18">
      <c r="A26" s="120">
        <v>22</v>
      </c>
      <c r="B26" s="120" t="s">
        <v>378</v>
      </c>
      <c r="C26" s="120">
        <v>18</v>
      </c>
      <c r="D26" s="121">
        <v>3.5</v>
      </c>
      <c r="E26" s="120" t="s">
        <v>376</v>
      </c>
      <c r="F26" s="120" t="s">
        <v>377</v>
      </c>
      <c r="G26" s="120"/>
      <c r="H26" s="120"/>
      <c r="I26" s="121">
        <f t="shared" si="0"/>
        <v>3.5</v>
      </c>
      <c r="J26" s="121">
        <f t="shared" si="17"/>
        <v>0</v>
      </c>
      <c r="K26" s="122">
        <f t="shared" si="1"/>
        <v>0</v>
      </c>
      <c r="L26" s="120"/>
      <c r="M26" s="120"/>
      <c r="N26" s="123">
        <v>0.13400000000000001</v>
      </c>
      <c r="O26" s="123">
        <f t="shared" si="18"/>
        <v>1.4102597510000002E-2</v>
      </c>
      <c r="P26" s="120">
        <v>110</v>
      </c>
      <c r="Q26" s="122">
        <f t="shared" si="16"/>
        <v>2.1666615340818551</v>
      </c>
      <c r="R26" s="119" t="str">
        <f t="shared" si="2"/>
        <v>ok</v>
      </c>
    </row>
    <row r="27" spans="1:18">
      <c r="A27" s="120">
        <v>23</v>
      </c>
      <c r="B27" s="120" t="s">
        <v>378</v>
      </c>
      <c r="C27" s="120">
        <v>19</v>
      </c>
      <c r="D27" s="121">
        <v>3.5</v>
      </c>
      <c r="E27" s="120" t="s">
        <v>376</v>
      </c>
      <c r="F27" s="120" t="s">
        <v>377</v>
      </c>
      <c r="G27" s="120"/>
      <c r="H27" s="120"/>
      <c r="I27" s="121">
        <f t="shared" si="0"/>
        <v>3.5</v>
      </c>
      <c r="J27" s="121">
        <f t="shared" si="17"/>
        <v>0</v>
      </c>
      <c r="K27" s="122">
        <f t="shared" si="1"/>
        <v>0</v>
      </c>
      <c r="L27" s="120"/>
      <c r="M27" s="120"/>
      <c r="N27" s="123">
        <v>0.13400000000000001</v>
      </c>
      <c r="O27" s="123">
        <f t="shared" si="18"/>
        <v>1.4102597510000002E-2</v>
      </c>
      <c r="P27" s="120">
        <v>220</v>
      </c>
      <c r="Q27" s="122">
        <f t="shared" si="16"/>
        <v>4.3333230681637103</v>
      </c>
      <c r="R27" s="119" t="str">
        <f t="shared" si="2"/>
        <v>ok</v>
      </c>
    </row>
    <row r="28" spans="1:18">
      <c r="A28" s="120">
        <v>24</v>
      </c>
      <c r="B28" s="120" t="s">
        <v>378</v>
      </c>
      <c r="C28" s="120">
        <v>20</v>
      </c>
      <c r="D28" s="121">
        <v>3.5</v>
      </c>
      <c r="E28" s="120" t="s">
        <v>376</v>
      </c>
      <c r="F28" s="120" t="s">
        <v>377</v>
      </c>
      <c r="G28" s="120"/>
      <c r="H28" s="120"/>
      <c r="I28" s="121">
        <f t="shared" si="0"/>
        <v>3.5</v>
      </c>
      <c r="J28" s="121">
        <f t="shared" si="17"/>
        <v>0</v>
      </c>
      <c r="K28" s="122">
        <f t="shared" si="1"/>
        <v>0</v>
      </c>
      <c r="L28" s="120"/>
      <c r="M28" s="120"/>
      <c r="N28" s="123">
        <v>0.13400000000000001</v>
      </c>
      <c r="O28" s="123">
        <f t="shared" si="18"/>
        <v>1.4102597510000002E-2</v>
      </c>
      <c r="P28" s="120">
        <v>110</v>
      </c>
      <c r="Q28" s="122">
        <f t="shared" si="16"/>
        <v>2.1666615340818551</v>
      </c>
      <c r="R28" s="119" t="str">
        <f t="shared" si="2"/>
        <v>ok</v>
      </c>
    </row>
    <row r="29" spans="1:18">
      <c r="A29" s="120">
        <v>25</v>
      </c>
      <c r="B29" s="120" t="s">
        <v>378</v>
      </c>
      <c r="C29" s="120">
        <v>21</v>
      </c>
      <c r="D29" s="121">
        <v>5.5</v>
      </c>
      <c r="E29" s="120" t="s">
        <v>376</v>
      </c>
      <c r="F29" s="120" t="s">
        <v>377</v>
      </c>
      <c r="G29" s="120"/>
      <c r="H29" s="120"/>
      <c r="I29" s="121">
        <f t="shared" si="0"/>
        <v>5.5</v>
      </c>
      <c r="J29" s="121">
        <f t="shared" si="17"/>
        <v>0</v>
      </c>
      <c r="K29" s="122">
        <f t="shared" si="1"/>
        <v>0</v>
      </c>
      <c r="L29" s="120"/>
      <c r="M29" s="120"/>
      <c r="N29" s="123">
        <v>0.13400000000000001</v>
      </c>
      <c r="O29" s="123">
        <f t="shared" si="18"/>
        <v>1.4102597510000002E-2</v>
      </c>
      <c r="P29" s="120">
        <v>110</v>
      </c>
      <c r="Q29" s="122">
        <f t="shared" si="16"/>
        <v>2.1666615340818551</v>
      </c>
      <c r="R29" s="119" t="str">
        <f t="shared" si="2"/>
        <v>ok</v>
      </c>
    </row>
    <row r="30" spans="1:18">
      <c r="A30" s="120">
        <v>26</v>
      </c>
      <c r="B30" s="120" t="s">
        <v>378</v>
      </c>
      <c r="C30" s="120">
        <v>22</v>
      </c>
      <c r="D30" s="121">
        <v>3.5</v>
      </c>
      <c r="E30" s="120" t="s">
        <v>376</v>
      </c>
      <c r="F30" s="120" t="s">
        <v>377</v>
      </c>
      <c r="G30" s="120"/>
      <c r="H30" s="120"/>
      <c r="I30" s="121">
        <f t="shared" si="0"/>
        <v>3.5</v>
      </c>
      <c r="J30" s="121">
        <f t="shared" si="17"/>
        <v>0</v>
      </c>
      <c r="K30" s="122">
        <f t="shared" si="1"/>
        <v>0</v>
      </c>
      <c r="L30" s="120"/>
      <c r="M30" s="120"/>
      <c r="N30" s="123">
        <v>0.13400000000000001</v>
      </c>
      <c r="O30" s="123">
        <f t="shared" si="18"/>
        <v>1.4102597510000002E-2</v>
      </c>
      <c r="P30" s="120">
        <v>110</v>
      </c>
      <c r="Q30" s="122">
        <f t="shared" si="16"/>
        <v>2.1666615340818551</v>
      </c>
      <c r="R30" s="119" t="str">
        <f t="shared" si="2"/>
        <v>ok</v>
      </c>
    </row>
    <row r="31" spans="1:18">
      <c r="A31" s="120">
        <v>27</v>
      </c>
      <c r="B31" s="120" t="s">
        <v>378</v>
      </c>
      <c r="C31" s="120">
        <v>35</v>
      </c>
      <c r="D31" s="121">
        <v>9</v>
      </c>
      <c r="E31" s="120" t="s">
        <v>374</v>
      </c>
      <c r="F31" s="120" t="s">
        <v>375</v>
      </c>
      <c r="G31" s="120">
        <v>0.47499999999999998</v>
      </c>
      <c r="H31" s="120"/>
      <c r="I31" s="121">
        <f t="shared" si="0"/>
        <v>0</v>
      </c>
      <c r="J31" s="121">
        <f t="shared" si="17"/>
        <v>9.7200000000000006</v>
      </c>
      <c r="K31" s="122">
        <f t="shared" si="1"/>
        <v>35.089199999999998</v>
      </c>
      <c r="L31" s="123">
        <v>0.15</v>
      </c>
      <c r="M31" s="123">
        <v>0.25</v>
      </c>
      <c r="N31" s="123"/>
      <c r="O31" s="123">
        <f t="shared" si="18"/>
        <v>3.7499999999999999E-2</v>
      </c>
      <c r="P31" s="120">
        <v>1100</v>
      </c>
      <c r="Q31" s="122">
        <f t="shared" si="16"/>
        <v>8.1481481481481488</v>
      </c>
      <c r="R31" s="119" t="str">
        <f t="shared" si="2"/>
        <v>ok</v>
      </c>
    </row>
    <row r="32" spans="1:18">
      <c r="A32" s="120">
        <v>28</v>
      </c>
      <c r="B32" s="120" t="s">
        <v>378</v>
      </c>
      <c r="C32" s="120">
        <v>36</v>
      </c>
      <c r="D32" s="121">
        <v>8</v>
      </c>
      <c r="E32" s="120" t="s">
        <v>374</v>
      </c>
      <c r="F32" s="120" t="s">
        <v>375</v>
      </c>
      <c r="G32" s="120">
        <v>0.47499999999999998</v>
      </c>
      <c r="H32" s="120"/>
      <c r="I32" s="121">
        <f t="shared" si="0"/>
        <v>0</v>
      </c>
      <c r="J32" s="121">
        <f t="shared" si="17"/>
        <v>6.48</v>
      </c>
      <c r="K32" s="122">
        <f t="shared" si="1"/>
        <v>23.392799999999998</v>
      </c>
      <c r="L32" s="123">
        <v>0.15</v>
      </c>
      <c r="M32" s="123">
        <v>0.15</v>
      </c>
      <c r="N32" s="123"/>
      <c r="O32" s="123">
        <f t="shared" si="18"/>
        <v>2.2499999999999999E-2</v>
      </c>
      <c r="P32" s="120">
        <v>770</v>
      </c>
      <c r="Q32" s="122">
        <f t="shared" si="16"/>
        <v>9.5061728395061724</v>
      </c>
      <c r="R32" s="119" t="str">
        <f t="shared" si="2"/>
        <v>ok</v>
      </c>
    </row>
    <row r="33" spans="1:18">
      <c r="A33" s="120">
        <v>29</v>
      </c>
      <c r="B33" s="120" t="s">
        <v>378</v>
      </c>
      <c r="C33" s="120">
        <v>37</v>
      </c>
      <c r="D33" s="121">
        <v>9</v>
      </c>
      <c r="E33" s="120" t="s">
        <v>374</v>
      </c>
      <c r="F33" s="120" t="s">
        <v>375</v>
      </c>
      <c r="G33" s="120">
        <v>0.47499999999999998</v>
      </c>
      <c r="H33" s="120"/>
      <c r="I33" s="121">
        <f t="shared" si="0"/>
        <v>0</v>
      </c>
      <c r="J33" s="121">
        <f t="shared" si="17"/>
        <v>12.15</v>
      </c>
      <c r="K33" s="122">
        <f t="shared" si="1"/>
        <v>43.861499999999999</v>
      </c>
      <c r="L33" s="123">
        <v>0.15</v>
      </c>
      <c r="M33" s="123">
        <v>0.35</v>
      </c>
      <c r="N33" s="123"/>
      <c r="O33" s="123">
        <f t="shared" si="18"/>
        <v>5.2499999999999998E-2</v>
      </c>
      <c r="P33" s="120">
        <v>1870</v>
      </c>
      <c r="Q33" s="122">
        <f t="shared" si="16"/>
        <v>9.8941798941798957</v>
      </c>
      <c r="R33" s="119" t="str">
        <f t="shared" si="2"/>
        <v>ok</v>
      </c>
    </row>
    <row r="34" spans="1:18">
      <c r="A34" s="120">
        <v>30</v>
      </c>
      <c r="B34" s="120" t="s">
        <v>378</v>
      </c>
      <c r="C34" s="120">
        <v>38</v>
      </c>
      <c r="D34" s="121">
        <v>8</v>
      </c>
      <c r="E34" s="120" t="s">
        <v>374</v>
      </c>
      <c r="F34" s="120" t="s">
        <v>375</v>
      </c>
      <c r="G34" s="120">
        <v>0.47499999999999998</v>
      </c>
      <c r="H34" s="120"/>
      <c r="I34" s="121">
        <f t="shared" si="0"/>
        <v>0</v>
      </c>
      <c r="J34" s="121">
        <f t="shared" si="17"/>
        <v>7.56</v>
      </c>
      <c r="K34" s="122">
        <f t="shared" si="1"/>
        <v>27.291599999999999</v>
      </c>
      <c r="L34" s="123">
        <v>0.15</v>
      </c>
      <c r="M34" s="123">
        <v>0.2</v>
      </c>
      <c r="N34" s="123"/>
      <c r="O34" s="123">
        <f t="shared" si="18"/>
        <v>0.03</v>
      </c>
      <c r="P34" s="120">
        <v>880</v>
      </c>
      <c r="Q34" s="122">
        <f t="shared" si="16"/>
        <v>8.1481481481481488</v>
      </c>
      <c r="R34" s="119" t="str">
        <f t="shared" si="2"/>
        <v>ok</v>
      </c>
    </row>
    <row r="35" spans="1:18">
      <c r="A35" s="120">
        <v>31</v>
      </c>
      <c r="B35" s="120" t="s">
        <v>378</v>
      </c>
      <c r="C35" s="120">
        <v>39</v>
      </c>
      <c r="D35" s="121">
        <v>5</v>
      </c>
      <c r="E35" s="120" t="s">
        <v>374</v>
      </c>
      <c r="F35" s="120" t="s">
        <v>375</v>
      </c>
      <c r="G35" s="120">
        <v>0.47499999999999998</v>
      </c>
      <c r="H35" s="120"/>
      <c r="I35" s="121">
        <f t="shared" si="0"/>
        <v>0</v>
      </c>
      <c r="J35" s="121">
        <f t="shared" si="17"/>
        <v>4.7250000000000005</v>
      </c>
      <c r="K35" s="122">
        <f t="shared" si="1"/>
        <v>17.05725</v>
      </c>
      <c r="L35" s="123">
        <v>0.15</v>
      </c>
      <c r="M35" s="123">
        <v>0.2</v>
      </c>
      <c r="N35" s="123"/>
      <c r="O35" s="123">
        <f t="shared" si="18"/>
        <v>0.03</v>
      </c>
      <c r="P35" s="120">
        <v>990</v>
      </c>
      <c r="Q35" s="122">
        <f t="shared" si="16"/>
        <v>9.1666666666666679</v>
      </c>
      <c r="R35" s="119" t="str">
        <f t="shared" si="2"/>
        <v>ok</v>
      </c>
    </row>
    <row r="36" spans="1:18">
      <c r="A36" s="120">
        <v>32</v>
      </c>
      <c r="B36" s="120" t="s">
        <v>378</v>
      </c>
      <c r="C36" s="120">
        <v>40</v>
      </c>
      <c r="D36" s="121">
        <v>14</v>
      </c>
      <c r="E36" s="120" t="s">
        <v>374</v>
      </c>
      <c r="F36" s="120" t="s">
        <v>375</v>
      </c>
      <c r="G36" s="120">
        <v>0.47499999999999998</v>
      </c>
      <c r="H36" s="120"/>
      <c r="I36" s="121">
        <f t="shared" si="0"/>
        <v>0</v>
      </c>
      <c r="J36" s="121">
        <f t="shared" si="17"/>
        <v>18.900000000000002</v>
      </c>
      <c r="K36" s="122">
        <f t="shared" si="1"/>
        <v>68.228999999999999</v>
      </c>
      <c r="L36" s="123">
        <v>0.15</v>
      </c>
      <c r="M36" s="123">
        <v>0.35</v>
      </c>
      <c r="N36" s="123"/>
      <c r="O36" s="123">
        <f t="shared" si="18"/>
        <v>5.2499999999999998E-2</v>
      </c>
      <c r="P36" s="120">
        <v>1870</v>
      </c>
      <c r="Q36" s="122">
        <f t="shared" si="16"/>
        <v>9.8941798941798957</v>
      </c>
      <c r="R36" s="119" t="str">
        <f t="shared" si="2"/>
        <v>ok</v>
      </c>
    </row>
    <row r="37" spans="1:18">
      <c r="A37" s="120">
        <v>33</v>
      </c>
      <c r="B37" s="120" t="s">
        <v>378</v>
      </c>
      <c r="C37" s="120">
        <v>41</v>
      </c>
      <c r="D37" s="121">
        <v>26</v>
      </c>
      <c r="E37" s="120" t="s">
        <v>374</v>
      </c>
      <c r="F37" s="120" t="s">
        <v>375</v>
      </c>
      <c r="G37" s="120">
        <v>0.47499999999999998</v>
      </c>
      <c r="H37" s="120"/>
      <c r="I37" s="121">
        <f t="shared" si="0"/>
        <v>0</v>
      </c>
      <c r="J37" s="121">
        <f t="shared" si="17"/>
        <v>59.67</v>
      </c>
      <c r="K37" s="122">
        <f t="shared" si="1"/>
        <v>215.40870000000001</v>
      </c>
      <c r="L37" s="123">
        <v>0.15</v>
      </c>
      <c r="M37" s="123">
        <v>0.7</v>
      </c>
      <c r="N37" s="123"/>
      <c r="O37" s="123">
        <f t="shared" si="18"/>
        <v>0.105</v>
      </c>
      <c r="P37" s="120">
        <v>3740</v>
      </c>
      <c r="Q37" s="122">
        <f t="shared" si="16"/>
        <v>9.8941798941798957</v>
      </c>
      <c r="R37" s="119" t="str">
        <f t="shared" si="2"/>
        <v>ok</v>
      </c>
    </row>
    <row r="38" spans="1:18" ht="91.5">
      <c r="A38" s="120"/>
      <c r="B38" s="120" t="s">
        <v>378</v>
      </c>
      <c r="C38" s="120" t="s">
        <v>380</v>
      </c>
      <c r="D38" s="121"/>
      <c r="E38" s="120" t="s">
        <v>390</v>
      </c>
      <c r="F38" s="120" t="s">
        <v>375</v>
      </c>
      <c r="G38" s="120"/>
      <c r="H38" s="120">
        <v>34</v>
      </c>
      <c r="I38" s="121"/>
      <c r="J38" s="121"/>
      <c r="K38" s="122"/>
      <c r="L38" s="120"/>
      <c r="M38" s="120"/>
      <c r="N38" s="123"/>
      <c r="O38" s="123"/>
      <c r="P38" s="120"/>
      <c r="Q38" s="122"/>
    </row>
    <row r="39" spans="1:18" ht="30.75">
      <c r="A39" s="120"/>
      <c r="B39" s="120" t="s">
        <v>378</v>
      </c>
      <c r="C39" s="120" t="s">
        <v>380</v>
      </c>
      <c r="D39" s="121"/>
      <c r="E39" s="120" t="s">
        <v>391</v>
      </c>
      <c r="F39" s="120" t="s">
        <v>375</v>
      </c>
      <c r="G39" s="120"/>
      <c r="H39" s="120">
        <v>34</v>
      </c>
      <c r="I39" s="121"/>
      <c r="J39" s="121"/>
      <c r="K39" s="122"/>
      <c r="L39" s="120"/>
      <c r="M39" s="120"/>
      <c r="N39" s="123"/>
      <c r="O39" s="123"/>
      <c r="P39" s="120"/>
      <c r="Q39" s="122"/>
    </row>
    <row r="42" spans="1:18" ht="29.25">
      <c r="B42" s="118" t="s">
        <v>8</v>
      </c>
      <c r="C42" s="125" t="s">
        <v>361</v>
      </c>
      <c r="D42" s="125"/>
      <c r="E42" s="125"/>
      <c r="F42" s="118" t="s">
        <v>362</v>
      </c>
      <c r="G42" s="118" t="s">
        <v>363</v>
      </c>
      <c r="H42" s="118" t="s">
        <v>364</v>
      </c>
      <c r="I42" s="118" t="s">
        <v>202</v>
      </c>
      <c r="J42" s="118" t="s">
        <v>365</v>
      </c>
      <c r="K42" s="118" t="s">
        <v>366</v>
      </c>
    </row>
    <row r="43" spans="1:18" ht="35.25" customHeight="1">
      <c r="B43" s="125" t="s">
        <v>373</v>
      </c>
      <c r="C43" s="126" t="s">
        <v>392</v>
      </c>
      <c r="D43" s="126"/>
      <c r="E43" s="126"/>
      <c r="F43" s="120" t="s">
        <v>377</v>
      </c>
      <c r="G43" s="127"/>
      <c r="H43" s="127"/>
      <c r="I43" s="128">
        <f>SUM(I3:I6)</f>
        <v>10.5</v>
      </c>
      <c r="J43" s="128"/>
      <c r="K43" s="128"/>
    </row>
    <row r="44" spans="1:18" ht="35.25" customHeight="1">
      <c r="B44" s="125"/>
      <c r="C44" s="126" t="s">
        <v>388</v>
      </c>
      <c r="D44" s="126"/>
      <c r="E44" s="126"/>
      <c r="F44" s="120" t="s">
        <v>375</v>
      </c>
      <c r="G44" s="127">
        <v>0.47499999999999998</v>
      </c>
      <c r="H44" s="127"/>
      <c r="I44" s="127"/>
      <c r="J44" s="128">
        <f>SUM(J3:J6)</f>
        <v>2.4299999999999997</v>
      </c>
      <c r="K44" s="128">
        <f>SUM(K3:K6)</f>
        <v>8.7722999999999978</v>
      </c>
    </row>
    <row r="45" spans="1:18" ht="45" customHeight="1">
      <c r="B45" s="125"/>
      <c r="C45" s="126" t="s">
        <v>390</v>
      </c>
      <c r="D45" s="126"/>
      <c r="E45" s="126"/>
      <c r="F45" s="120" t="s">
        <v>375</v>
      </c>
      <c r="G45" s="127"/>
      <c r="H45" s="127">
        <f>H7</f>
        <v>3</v>
      </c>
      <c r="I45" s="127"/>
      <c r="J45" s="127"/>
      <c r="K45" s="127"/>
    </row>
    <row r="46" spans="1:18" ht="35.25" customHeight="1">
      <c r="B46" s="125"/>
      <c r="C46" s="126" t="s">
        <v>391</v>
      </c>
      <c r="D46" s="126"/>
      <c r="E46" s="126"/>
      <c r="F46" s="120" t="s">
        <v>375</v>
      </c>
      <c r="G46" s="127">
        <v>0.47499999999999998</v>
      </c>
      <c r="H46" s="127">
        <f>H8</f>
        <v>3</v>
      </c>
      <c r="I46" s="127"/>
      <c r="J46" s="127"/>
      <c r="K46" s="127"/>
    </row>
    <row r="47" spans="1:18" ht="29.25">
      <c r="B47" s="118" t="s">
        <v>8</v>
      </c>
      <c r="C47" s="125" t="s">
        <v>361</v>
      </c>
      <c r="D47" s="125"/>
      <c r="E47" s="125"/>
      <c r="F47" s="118" t="s">
        <v>362</v>
      </c>
      <c r="G47" s="118" t="s">
        <v>363</v>
      </c>
      <c r="H47" s="118" t="s">
        <v>364</v>
      </c>
      <c r="I47" s="118" t="s">
        <v>202</v>
      </c>
      <c r="J47" s="118" t="s">
        <v>365</v>
      </c>
      <c r="K47" s="118" t="s">
        <v>366</v>
      </c>
    </row>
    <row r="48" spans="1:18" ht="35.25" customHeight="1">
      <c r="B48" s="125" t="s">
        <v>378</v>
      </c>
      <c r="C48" s="126" t="s">
        <v>392</v>
      </c>
      <c r="D48" s="126"/>
      <c r="E48" s="126"/>
      <c r="F48" s="120" t="s">
        <v>377</v>
      </c>
      <c r="G48" s="127"/>
      <c r="H48" s="127"/>
      <c r="I48" s="128">
        <f>SUM(I9:I30)</f>
        <v>91</v>
      </c>
      <c r="J48" s="128"/>
      <c r="K48" s="128"/>
    </row>
    <row r="49" spans="2:11" ht="35.25" customHeight="1">
      <c r="B49" s="125"/>
      <c r="C49" s="126" t="s">
        <v>388</v>
      </c>
      <c r="D49" s="126"/>
      <c r="E49" s="126"/>
      <c r="F49" s="120" t="s">
        <v>375</v>
      </c>
      <c r="G49" s="127">
        <v>0.47499999999999998</v>
      </c>
      <c r="H49" s="127"/>
      <c r="I49" s="127"/>
      <c r="J49" s="128">
        <f>SUM(J9:J37)</f>
        <v>119.20500000000001</v>
      </c>
      <c r="K49" s="128">
        <f>SUM(K9:K37)</f>
        <v>430.33005000000003</v>
      </c>
    </row>
    <row r="50" spans="2:11" ht="45" customHeight="1">
      <c r="B50" s="125"/>
      <c r="C50" s="126" t="s">
        <v>390</v>
      </c>
      <c r="D50" s="126"/>
      <c r="E50" s="126"/>
      <c r="F50" s="120" t="s">
        <v>375</v>
      </c>
      <c r="G50" s="127"/>
      <c r="H50" s="127">
        <f>H38</f>
        <v>34</v>
      </c>
      <c r="I50" s="127"/>
      <c r="J50" s="127"/>
      <c r="K50" s="127"/>
    </row>
    <row r="51" spans="2:11" ht="35.25" customHeight="1">
      <c r="B51" s="125"/>
      <c r="C51" s="126" t="s">
        <v>391</v>
      </c>
      <c r="D51" s="126"/>
      <c r="E51" s="126"/>
      <c r="F51" s="120" t="s">
        <v>375</v>
      </c>
      <c r="G51" s="127">
        <v>0.47499999999999998</v>
      </c>
      <c r="H51" s="127">
        <f>H39</f>
        <v>34</v>
      </c>
      <c r="I51" s="127"/>
      <c r="J51" s="127"/>
      <c r="K51" s="127"/>
    </row>
    <row r="52" spans="2:11" ht="29.25">
      <c r="B52" s="118" t="s">
        <v>8</v>
      </c>
      <c r="C52" s="125" t="s">
        <v>361</v>
      </c>
      <c r="D52" s="125"/>
      <c r="E52" s="125"/>
      <c r="F52" s="118" t="s">
        <v>362</v>
      </c>
      <c r="G52" s="118" t="s">
        <v>363</v>
      </c>
      <c r="H52" s="118" t="s">
        <v>364</v>
      </c>
      <c r="I52" s="118" t="s">
        <v>202</v>
      </c>
      <c r="J52" s="118" t="s">
        <v>365</v>
      </c>
      <c r="K52" s="118" t="s">
        <v>366</v>
      </c>
    </row>
    <row r="53" spans="2:11" ht="35.25" customHeight="1">
      <c r="B53" s="125" t="s">
        <v>393</v>
      </c>
      <c r="C53" s="126" t="s">
        <v>392</v>
      </c>
      <c r="D53" s="126"/>
      <c r="E53" s="126"/>
      <c r="F53" s="120" t="s">
        <v>377</v>
      </c>
      <c r="G53" s="127"/>
      <c r="H53" s="127"/>
      <c r="I53" s="128">
        <f>I43+I48</f>
        <v>101.5</v>
      </c>
      <c r="J53" s="128"/>
      <c r="K53" s="128"/>
    </row>
    <row r="54" spans="2:11" ht="35.25" customHeight="1">
      <c r="B54" s="125"/>
      <c r="C54" s="126" t="s">
        <v>388</v>
      </c>
      <c r="D54" s="126"/>
      <c r="E54" s="126"/>
      <c r="F54" s="120" t="s">
        <v>375</v>
      </c>
      <c r="G54" s="127">
        <v>0.47499999999999998</v>
      </c>
      <c r="H54" s="127"/>
      <c r="I54" s="127"/>
      <c r="J54" s="128">
        <f>J44+J49</f>
        <v>121.63500000000002</v>
      </c>
      <c r="K54" s="128">
        <f>K44+K49</f>
        <v>439.10235</v>
      </c>
    </row>
    <row r="55" spans="2:11" ht="45" customHeight="1">
      <c r="B55" s="125"/>
      <c r="C55" s="126" t="s">
        <v>390</v>
      </c>
      <c r="D55" s="126"/>
      <c r="E55" s="126"/>
      <c r="F55" s="120" t="s">
        <v>375</v>
      </c>
      <c r="G55" s="127"/>
      <c r="H55" s="127">
        <f>SUM(H45,H50)</f>
        <v>37</v>
      </c>
      <c r="I55" s="127"/>
      <c r="J55" s="127"/>
      <c r="K55" s="127"/>
    </row>
    <row r="56" spans="2:11" ht="35.25" customHeight="1">
      <c r="B56" s="125"/>
      <c r="C56" s="126" t="s">
        <v>391</v>
      </c>
      <c r="D56" s="126"/>
      <c r="E56" s="126"/>
      <c r="F56" s="120" t="s">
        <v>375</v>
      </c>
      <c r="G56" s="127">
        <v>0.47499999999999998</v>
      </c>
      <c r="H56" s="127">
        <f>SUM(H46,H51)</f>
        <v>37</v>
      </c>
      <c r="I56" s="127"/>
      <c r="J56" s="127"/>
      <c r="K56" s="127"/>
    </row>
  </sheetData>
  <mergeCells count="18">
    <mergeCell ref="C52:E52"/>
    <mergeCell ref="B53:B56"/>
    <mergeCell ref="C53:E53"/>
    <mergeCell ref="C54:E54"/>
    <mergeCell ref="C55:E55"/>
    <mergeCell ref="C56:E56"/>
    <mergeCell ref="C47:E47"/>
    <mergeCell ref="B48:B51"/>
    <mergeCell ref="C48:E48"/>
    <mergeCell ref="C49:E49"/>
    <mergeCell ref="C50:E50"/>
    <mergeCell ref="C51:E51"/>
    <mergeCell ref="C42:E42"/>
    <mergeCell ref="B43:B46"/>
    <mergeCell ref="C43:E43"/>
    <mergeCell ref="C44:E44"/>
    <mergeCell ref="C45:E45"/>
    <mergeCell ref="C46:E46"/>
  </mergeCells>
  <phoneticPr fontId="1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dc675-91ac-41ba-88b1-7cbe1c0d23f7" xsi:nil="true"/>
    <lcf76f155ced4ddcb4097134ff3c332f xmlns="5e4d5e1a-a2f1-4316-b3d6-d95a5b32996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790C10DCABFD4DBF61A4FCA06EFDD1" ma:contentTypeVersion="14" ma:contentTypeDescription="Crie um novo documento." ma:contentTypeScope="" ma:versionID="3920fcb21571734b7d31cf8f3c7204e9">
  <xsd:schema xmlns:xsd="http://www.w3.org/2001/XMLSchema" xmlns:xs="http://www.w3.org/2001/XMLSchema" xmlns:p="http://schemas.microsoft.com/office/2006/metadata/properties" xmlns:ns2="feedc675-91ac-41ba-88b1-7cbe1c0d23f7" xmlns:ns3="5e4d5e1a-a2f1-4316-b3d6-d95a5b329965" targetNamespace="http://schemas.microsoft.com/office/2006/metadata/properties" ma:root="true" ma:fieldsID="bbc5ef94b3c4aa80cdc0bb74802726d6" ns2:_="" ns3:_="">
    <xsd:import namespace="feedc675-91ac-41ba-88b1-7cbe1c0d23f7"/>
    <xsd:import namespace="5e4d5e1a-a2f1-4316-b3d6-d95a5b329965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c675-91ac-41ba-88b1-7cbe1c0d23f7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8" nillable="true" ma:displayName="Taxonomy Catch All Column" ma:hidden="true" ma:list="{b294e96d-5445-4ba4-ac9f-cda17c05d590}" ma:internalName="TaxCatchAll" ma:showField="CatchAllData" ma:web="feedc675-91ac-41ba-88b1-7cbe1c0d23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d5e1a-a2f1-4316-b3d6-d95a5b3299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e41c7fc-586c-4430-8243-e406eec24b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09CBDF-4B30-4658-842F-A99331C4A13F}"/>
</file>

<file path=customXml/itemProps2.xml><?xml version="1.0" encoding="utf-8"?>
<ds:datastoreItem xmlns:ds="http://schemas.openxmlformats.org/officeDocument/2006/customXml" ds:itemID="{AEBD00C8-34D6-4CA6-B258-6049D5919970}"/>
</file>

<file path=customXml/itemProps3.xml><?xml version="1.0" encoding="utf-8"?>
<ds:datastoreItem xmlns:ds="http://schemas.openxmlformats.org/officeDocument/2006/customXml" ds:itemID="{12298984-E110-4F59-A6CD-9D03187537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Edgar Carvalho Gama Molas</cp:lastModifiedBy>
  <cp:revision/>
  <dcterms:created xsi:type="dcterms:W3CDTF">2026-05-12T16:00:13Z</dcterms:created>
  <dcterms:modified xsi:type="dcterms:W3CDTF">2026-05-12T16:04:56Z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0x01010038790C10DCABFD4DBF61A4FCA06EFDD1</vt:lpwstr>
  </property>
  <property fmtid="{D5CDD505-2E9C-101B-9397-08002B2CF9AE}" pid="3" name="MediaServiceImageTags">
    <vt:lpwstr/>
  </property>
</Properties>
</file>