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a.moreira\Desktop\PE nº 7.2026 - Vigilantes (republicação)\"/>
    </mc:Choice>
  </mc:AlternateContent>
  <xr:revisionPtr revIDLastSave="0" documentId="8_{C05A2C87-4031-4B9A-B4B9-49A71D579C47}" xr6:coauthVersionLast="47" xr6:coauthVersionMax="47" xr10:uidLastSave="{00000000-0000-0000-0000-000000000000}"/>
  <bookViews>
    <workbookView xWindow="-28920" yWindow="-60" windowWidth="29040" windowHeight="15720" tabRatio="874" xr2:uid="{00000000-000D-0000-FFFF-FFFF00000000}"/>
  </bookViews>
  <sheets>
    <sheet name="Valor anual" sheetId="8" r:id="rId1"/>
    <sheet name="Vigilante 12X36 SEDE DIURNO" sheetId="5" r:id="rId2"/>
    <sheet name="Vigilante 12x36 - SEDE NOTURNO" sheetId="16" r:id="rId3"/>
    <sheet name="Vigilante 44h SEDE " sheetId="21" r:id="rId4"/>
    <sheet name="Vigilante 12X36 - GALPÃO DIURNO" sheetId="19" r:id="rId5"/>
    <sheet name="Vigilante 12X36 - GALPÃO NOTURN" sheetId="20" r:id="rId6"/>
    <sheet name="Uniforme" sheetId="2" r:id="rId7"/>
    <sheet name="Equipamentos" sheetId="3" r:id="rId8"/>
    <sheet name="Material" sheetId="6" r:id="rId9"/>
    <sheet name="PIS-COFINS" sheetId="2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22" l="1"/>
  <c r="F124" i="20" s="1"/>
  <c r="F18" i="22"/>
  <c r="F123" i="20" s="1"/>
  <c r="F122" i="5" l="1"/>
  <c r="F123" i="5"/>
  <c r="F123" i="16"/>
  <c r="F124" i="16"/>
  <c r="F122" i="21"/>
  <c r="F123" i="21"/>
  <c r="F122" i="19"/>
  <c r="F123" i="19"/>
  <c r="F76" i="16"/>
  <c r="H11" i="6"/>
  <c r="I11" i="6" s="1"/>
  <c r="H17" i="6"/>
  <c r="I17" i="6" s="1"/>
  <c r="H16" i="6"/>
  <c r="I16" i="6" s="1"/>
  <c r="H15" i="6"/>
  <c r="I15" i="6" s="1"/>
  <c r="H14" i="6"/>
  <c r="I14" i="6" s="1"/>
  <c r="H13" i="6"/>
  <c r="I13" i="6" s="1"/>
  <c r="H12" i="6"/>
  <c r="I12" i="6" s="1"/>
  <c r="H10" i="6"/>
  <c r="I10" i="6" s="1"/>
  <c r="I11" i="3"/>
  <c r="J11" i="3" s="1"/>
  <c r="F43" i="5"/>
  <c r="I18" i="6" l="1"/>
  <c r="H16" i="2" l="1"/>
  <c r="H15" i="2"/>
  <c r="H14" i="2"/>
  <c r="H13" i="2"/>
  <c r="H12" i="2"/>
  <c r="H11" i="2"/>
  <c r="H10" i="2"/>
  <c r="H9" i="2"/>
  <c r="H17" i="2" s="1"/>
  <c r="G9" i="2"/>
  <c r="A49" i="16"/>
  <c r="F42" i="21" l="1"/>
  <c r="F42" i="5"/>
  <c r="F49" i="5" s="1"/>
  <c r="A10" i="20"/>
  <c r="A9" i="20"/>
  <c r="A8" i="20"/>
  <c r="A10" i="19"/>
  <c r="A9" i="19"/>
  <c r="A8" i="19"/>
  <c r="A10" i="21"/>
  <c r="A9" i="21"/>
  <c r="A8" i="21"/>
  <c r="A44" i="16"/>
  <c r="A10" i="16"/>
  <c r="A9" i="16"/>
  <c r="A8" i="16"/>
  <c r="G11" i="3"/>
  <c r="F43" i="16" l="1"/>
  <c r="C11" i="8"/>
  <c r="G16" i="2" l="1"/>
  <c r="G15" i="2"/>
  <c r="G14" i="2"/>
  <c r="G11" i="2"/>
  <c r="G12" i="2"/>
  <c r="G10" i="2"/>
  <c r="G13" i="2"/>
  <c r="F36" i="5"/>
  <c r="G17" i="2" l="1"/>
  <c r="F43" i="21"/>
  <c r="D11" i="8" l="1"/>
  <c r="F49" i="21" l="1"/>
  <c r="F128" i="21"/>
  <c r="E69" i="21"/>
  <c r="F37" i="21"/>
  <c r="F36" i="21"/>
  <c r="F38" i="21" l="1"/>
  <c r="F144" i="21"/>
  <c r="F64" i="21"/>
  <c r="D129" i="21"/>
  <c r="D131" i="21" s="1"/>
  <c r="F65" i="21" l="1"/>
  <c r="F87" i="21"/>
  <c r="F95" i="21"/>
  <c r="F96" i="21"/>
  <c r="F97" i="21"/>
  <c r="F88" i="21"/>
  <c r="F68" i="21"/>
  <c r="F143" i="21"/>
  <c r="F73" i="21"/>
  <c r="F67" i="21"/>
  <c r="F66" i="21"/>
  <c r="F89" i="21"/>
  <c r="F84" i="21"/>
  <c r="F93" i="21"/>
  <c r="F94" i="21"/>
  <c r="F61" i="21"/>
  <c r="F63" i="21"/>
  <c r="F62" i="21"/>
  <c r="F79" i="21"/>
  <c r="F80" i="21" s="1"/>
  <c r="F81" i="21" s="1"/>
  <c r="F106" i="21" s="1"/>
  <c r="F72" i="21"/>
  <c r="F98" i="21"/>
  <c r="F99" i="21"/>
  <c r="F74" i="21"/>
  <c r="F75" i="21" s="1"/>
  <c r="F76" i="21" s="1"/>
  <c r="F105" i="21" s="1"/>
  <c r="F85" i="21"/>
  <c r="F86" i="21" s="1"/>
  <c r="F48" i="20"/>
  <c r="F47" i="20"/>
  <c r="F45" i="20"/>
  <c r="F47" i="19"/>
  <c r="F46" i="19"/>
  <c r="F44" i="19"/>
  <c r="F48" i="16"/>
  <c r="F47" i="16"/>
  <c r="F45" i="16"/>
  <c r="F69" i="21" l="1"/>
  <c r="F104" i="21" s="1"/>
  <c r="F90" i="21"/>
  <c r="F107" i="21" s="1"/>
  <c r="F100" i="21"/>
  <c r="F101" i="21" s="1"/>
  <c r="F108" i="21" s="1"/>
  <c r="E31" i="20"/>
  <c r="E31" i="19"/>
  <c r="E31" i="16"/>
  <c r="E16" i="20"/>
  <c r="E16" i="19"/>
  <c r="E16" i="16"/>
  <c r="F110" i="21" l="1"/>
  <c r="F146" i="21" s="1"/>
  <c r="F43" i="19"/>
  <c r="F44" i="20"/>
  <c r="F44" i="16"/>
  <c r="E69" i="5"/>
  <c r="F129" i="20"/>
  <c r="D130" i="20" s="1"/>
  <c r="D132" i="20" s="1"/>
  <c r="E70" i="20"/>
  <c r="F36" i="20"/>
  <c r="G17" i="3"/>
  <c r="I17" i="3" s="1"/>
  <c r="J17" i="3" s="1"/>
  <c r="G16" i="3"/>
  <c r="I16" i="3" s="1"/>
  <c r="J16" i="3" s="1"/>
  <c r="G15" i="3"/>
  <c r="I15" i="3" s="1"/>
  <c r="J15" i="3" s="1"/>
  <c r="G14" i="3"/>
  <c r="I14" i="3" s="1"/>
  <c r="J14" i="3" s="1"/>
  <c r="G13" i="3"/>
  <c r="I13" i="3" s="1"/>
  <c r="J13" i="3" s="1"/>
  <c r="G12" i="3"/>
  <c r="I12" i="3" s="1"/>
  <c r="J12" i="3" s="1"/>
  <c r="A12" i="3"/>
  <c r="A13" i="3" s="1"/>
  <c r="A14" i="3" s="1"/>
  <c r="A15" i="3" s="1"/>
  <c r="F128" i="19"/>
  <c r="D129" i="19" s="1"/>
  <c r="D131" i="19" s="1"/>
  <c r="E69" i="19"/>
  <c r="F36" i="19"/>
  <c r="F38" i="19" s="1"/>
  <c r="F36" i="16"/>
  <c r="F37" i="16" s="1"/>
  <c r="F129" i="16"/>
  <c r="D130" i="16" s="1"/>
  <c r="D132" i="16" s="1"/>
  <c r="E70" i="16"/>
  <c r="F48" i="19" l="1"/>
  <c r="F87" i="19"/>
  <c r="F95" i="19"/>
  <c r="F96" i="19"/>
  <c r="F97" i="19"/>
  <c r="F50" i="16"/>
  <c r="F145" i="16" s="1"/>
  <c r="F49" i="19"/>
  <c r="F144" i="19" s="1"/>
  <c r="F79" i="19"/>
  <c r="F80" i="19" s="1"/>
  <c r="F94" i="19"/>
  <c r="F84" i="19"/>
  <c r="J18" i="3"/>
  <c r="F37" i="20"/>
  <c r="F66" i="19"/>
  <c r="F39" i="16"/>
  <c r="F88" i="16" l="1"/>
  <c r="F96" i="16"/>
  <c r="F97" i="16"/>
  <c r="F98" i="16"/>
  <c r="F62" i="16"/>
  <c r="F54" i="21"/>
  <c r="F54" i="19"/>
  <c r="F55" i="20"/>
  <c r="F53" i="21"/>
  <c r="F54" i="20"/>
  <c r="F53" i="19"/>
  <c r="F95" i="16"/>
  <c r="F80" i="16"/>
  <c r="F81" i="16" s="1"/>
  <c r="F82" i="16" s="1"/>
  <c r="F107" i="16" s="1"/>
  <c r="F85" i="16"/>
  <c r="F86" i="16" s="1"/>
  <c r="F87" i="16" s="1"/>
  <c r="F89" i="16"/>
  <c r="F55" i="16"/>
  <c r="F54" i="5"/>
  <c r="F53" i="5"/>
  <c r="F54" i="16"/>
  <c r="F39" i="20"/>
  <c r="F61" i="19"/>
  <c r="F64" i="19"/>
  <c r="F89" i="19"/>
  <c r="F72" i="19"/>
  <c r="F62" i="19"/>
  <c r="F143" i="19"/>
  <c r="F67" i="19"/>
  <c r="F98" i="19"/>
  <c r="F93" i="19"/>
  <c r="F73" i="19"/>
  <c r="F63" i="19"/>
  <c r="F88" i="19"/>
  <c r="F65" i="19"/>
  <c r="F68" i="19"/>
  <c r="F85" i="19"/>
  <c r="F86" i="19" s="1"/>
  <c r="F65" i="16"/>
  <c r="F67" i="16"/>
  <c r="F66" i="16"/>
  <c r="F144" i="16"/>
  <c r="F73" i="16"/>
  <c r="F63" i="16"/>
  <c r="F74" i="16"/>
  <c r="F90" i="16"/>
  <c r="F68" i="16"/>
  <c r="F99" i="16"/>
  <c r="F94" i="16"/>
  <c r="F69" i="16"/>
  <c r="F64" i="16"/>
  <c r="F49" i="20" l="1"/>
  <c r="F88" i="20"/>
  <c r="F89" i="20" s="1"/>
  <c r="F96" i="20"/>
  <c r="F97" i="20"/>
  <c r="F98" i="20"/>
  <c r="F68" i="20"/>
  <c r="F144" i="20"/>
  <c r="F94" i="20"/>
  <c r="F74" i="20"/>
  <c r="F66" i="20"/>
  <c r="F99" i="20"/>
  <c r="F95" i="20"/>
  <c r="F80" i="20"/>
  <c r="F81" i="20" s="1"/>
  <c r="F85" i="20"/>
  <c r="F64" i="20"/>
  <c r="F69" i="20"/>
  <c r="F67" i="20"/>
  <c r="F62" i="20"/>
  <c r="F65" i="20"/>
  <c r="F90" i="20"/>
  <c r="F73" i="20"/>
  <c r="F63" i="20"/>
  <c r="F74" i="19"/>
  <c r="F75" i="19" s="1"/>
  <c r="F76" i="19" s="1"/>
  <c r="F105" i="19" s="1"/>
  <c r="F69" i="19"/>
  <c r="F104" i="19" s="1"/>
  <c r="F99" i="19"/>
  <c r="F100" i="19" s="1"/>
  <c r="F101" i="19" s="1"/>
  <c r="F108" i="19" s="1"/>
  <c r="F81" i="19"/>
  <c r="F106" i="19" s="1"/>
  <c r="F90" i="19"/>
  <c r="F107" i="19" s="1"/>
  <c r="F100" i="16"/>
  <c r="F101" i="16" s="1"/>
  <c r="F102" i="16" s="1"/>
  <c r="F109" i="16" s="1"/>
  <c r="F75" i="16"/>
  <c r="F77" i="16" s="1"/>
  <c r="F106" i="16" s="1"/>
  <c r="F70" i="16"/>
  <c r="F105" i="16" s="1"/>
  <c r="F91" i="16"/>
  <c r="F108" i="16" s="1"/>
  <c r="F86" i="20" l="1"/>
  <c r="F87" i="20" s="1"/>
  <c r="F91" i="20" s="1"/>
  <c r="F108" i="20" s="1"/>
  <c r="F50" i="20"/>
  <c r="F145" i="20" s="1"/>
  <c r="F82" i="20"/>
  <c r="F107" i="20" s="1"/>
  <c r="F100" i="20"/>
  <c r="F75" i="20"/>
  <c r="F76" i="20" s="1"/>
  <c r="F77" i="20" s="1"/>
  <c r="F106" i="20" s="1"/>
  <c r="F70" i="20"/>
  <c r="F105" i="20" s="1"/>
  <c r="F110" i="19"/>
  <c r="F146" i="19" s="1"/>
  <c r="F111" i="16"/>
  <c r="F147" i="16" s="1"/>
  <c r="F101" i="20" l="1"/>
  <c r="F102" i="20" s="1"/>
  <c r="F109" i="20" s="1"/>
  <c r="F111" i="20" s="1"/>
  <c r="F147" i="20" s="1"/>
  <c r="A11" i="6" l="1"/>
  <c r="A12" i="6" s="1"/>
  <c r="A13" i="6" s="1"/>
  <c r="F128" i="5" l="1"/>
  <c r="D129" i="5" s="1"/>
  <c r="D131" i="5" s="1"/>
  <c r="F144" i="5"/>
  <c r="F37" i="5"/>
  <c r="F38" i="5" l="1"/>
  <c r="F97" i="5" l="1"/>
  <c r="F87" i="5"/>
  <c r="F88" i="5" s="1"/>
  <c r="F95" i="5"/>
  <c r="F96" i="5"/>
  <c r="F94" i="5"/>
  <c r="F79" i="5"/>
  <c r="F80" i="5" s="1"/>
  <c r="F84" i="5"/>
  <c r="F64" i="5"/>
  <c r="F72" i="5"/>
  <c r="F73" i="5"/>
  <c r="F66" i="5"/>
  <c r="F143" i="5"/>
  <c r="F68" i="5"/>
  <c r="F61" i="5"/>
  <c r="F98" i="5"/>
  <c r="F65" i="5"/>
  <c r="F93" i="5"/>
  <c r="F63" i="5"/>
  <c r="F62" i="5"/>
  <c r="F89" i="5"/>
  <c r="F67" i="5"/>
  <c r="F85" i="5" l="1"/>
  <c r="F86" i="5" s="1"/>
  <c r="F90" i="5" s="1"/>
  <c r="F107" i="5" s="1"/>
  <c r="F74" i="5"/>
  <c r="F99" i="5"/>
  <c r="F100" i="5" s="1"/>
  <c r="F101" i="5" s="1"/>
  <c r="F108" i="5" s="1"/>
  <c r="F69" i="5"/>
  <c r="F104" i="5" s="1"/>
  <c r="F81" i="5"/>
  <c r="F106" i="5" s="1"/>
  <c r="F75" i="5" l="1"/>
  <c r="F76" i="5" s="1"/>
  <c r="F105" i="5" s="1"/>
  <c r="F110" i="5" s="1"/>
  <c r="F146" i="5" l="1"/>
  <c r="F52" i="21" l="1"/>
  <c r="F56" i="21" s="1"/>
  <c r="F145" i="21" l="1"/>
  <c r="F115" i="21"/>
  <c r="F136" i="21" s="1"/>
  <c r="F52" i="19"/>
  <c r="F56" i="19" s="1"/>
  <c r="F52" i="5"/>
  <c r="F56" i="5" s="1"/>
  <c r="F53" i="20"/>
  <c r="F57" i="20" s="1"/>
  <c r="F53" i="16"/>
  <c r="F57" i="16" s="1"/>
  <c r="F118" i="21" l="1"/>
  <c r="F146" i="20"/>
  <c r="F116" i="20"/>
  <c r="F137" i="20" s="1"/>
  <c r="F145" i="5"/>
  <c r="F115" i="5"/>
  <c r="F136" i="5" s="1"/>
  <c r="F146" i="16"/>
  <c r="F116" i="16"/>
  <c r="F137" i="16" s="1"/>
  <c r="F145" i="19"/>
  <c r="F115" i="19"/>
  <c r="F136" i="19" s="1"/>
  <c r="F137" i="21" l="1"/>
  <c r="F130" i="21"/>
  <c r="F132" i="21" s="1"/>
  <c r="F133" i="21" s="1"/>
  <c r="F138" i="21" s="1"/>
  <c r="F119" i="20"/>
  <c r="F138" i="20" s="1"/>
  <c r="F118" i="5"/>
  <c r="F137" i="5" s="1"/>
  <c r="F119" i="16"/>
  <c r="F138" i="16" s="1"/>
  <c r="F118" i="19"/>
  <c r="F139" i="21" l="1"/>
  <c r="F147" i="21" s="1"/>
  <c r="F148" i="21" s="1"/>
  <c r="E8" i="8" s="1"/>
  <c r="F8" i="8" s="1"/>
  <c r="G8" i="8" s="1"/>
  <c r="H8" i="8" s="1"/>
  <c r="F131" i="20"/>
  <c r="F133" i="20" s="1"/>
  <c r="F134" i="20" s="1"/>
  <c r="F139" i="20" s="1"/>
  <c r="F140" i="20" s="1"/>
  <c r="F148" i="20" s="1"/>
  <c r="F149" i="20" s="1"/>
  <c r="F130" i="5"/>
  <c r="F132" i="5" s="1"/>
  <c r="F133" i="5" s="1"/>
  <c r="F138" i="5" s="1"/>
  <c r="F139" i="5" s="1"/>
  <c r="F147" i="5" s="1"/>
  <c r="F148" i="5" s="1"/>
  <c r="E6" i="8" s="1"/>
  <c r="F131" i="16"/>
  <c r="F133" i="16" s="1"/>
  <c r="F134" i="16" s="1"/>
  <c r="F139" i="16" s="1"/>
  <c r="F140" i="16" s="1"/>
  <c r="F148" i="16" s="1"/>
  <c r="F149" i="16" s="1"/>
  <c r="F137" i="19"/>
  <c r="F130" i="19"/>
  <c r="F132" i="19" s="1"/>
  <c r="F133" i="19" s="1"/>
  <c r="F138" i="19" s="1"/>
  <c r="F6" i="8" l="1"/>
  <c r="G6" i="8" s="1"/>
  <c r="H6" i="8" s="1"/>
  <c r="E10" i="8"/>
  <c r="F10" i="8" s="1"/>
  <c r="E7" i="8"/>
  <c r="F7" i="8" s="1"/>
  <c r="G7" i="8" s="1"/>
  <c r="H7" i="8" s="1"/>
  <c r="F139" i="19"/>
  <c r="F147" i="19" s="1"/>
  <c r="F148" i="19" s="1"/>
  <c r="G10" i="8" l="1"/>
  <c r="H10" i="8" s="1"/>
  <c r="E9" i="8"/>
  <c r="F9" i="8" s="1"/>
  <c r="G9" i="8" s="1"/>
  <c r="H9" i="8" s="1"/>
  <c r="G11" i="8" l="1"/>
  <c r="H11" i="8" l="1"/>
</calcChain>
</file>

<file path=xl/sharedStrings.xml><?xml version="1.0" encoding="utf-8"?>
<sst xmlns="http://schemas.openxmlformats.org/spreadsheetml/2006/main" count="953" uniqueCount="235">
  <si>
    <t>PODER JUDICIÁRIO</t>
  </si>
  <si>
    <t>TRIBUNAL REGIONAL ELEITORAL DO DISTRITO FEDERAL</t>
  </si>
  <si>
    <t>SEÇÃO DE SEGURANÇA</t>
  </si>
  <si>
    <t>Item</t>
  </si>
  <si>
    <t>Especificação</t>
  </si>
  <si>
    <t>Valor Unitário</t>
  </si>
  <si>
    <t>TOTAL</t>
  </si>
  <si>
    <t xml:space="preserve">CONTRATAÇÃO DE VIGILÂNCIA ARMADA </t>
  </si>
  <si>
    <t>Camisa mangas curtas com identificação da empresa</t>
  </si>
  <si>
    <t>Quantidade semestral</t>
  </si>
  <si>
    <t>Quantidade anual</t>
  </si>
  <si>
    <t>Cinto de nylon</t>
  </si>
  <si>
    <t>Japona de frio</t>
  </si>
  <si>
    <t>Custo anual por empregado (R$)</t>
  </si>
  <si>
    <t>Custo mensal por empregado (R$)</t>
  </si>
  <si>
    <t xml:space="preserve">Custo mensal </t>
  </si>
  <si>
    <t>Munição calibre .38</t>
  </si>
  <si>
    <t>Revolver calibre .38</t>
  </si>
  <si>
    <t>Coldre para revólver .38</t>
  </si>
  <si>
    <t>Cofre para armas</t>
  </si>
  <si>
    <t>Cinto tático</t>
  </si>
  <si>
    <t>Relógio de ponto</t>
  </si>
  <si>
    <t>Armário de aço tipo roupeiro de 4 portas</t>
  </si>
  <si>
    <t>Caixa de areia confeccionada em material plástico com 60Kg de areia</t>
  </si>
  <si>
    <t xml:space="preserve">Quantidade </t>
  </si>
  <si>
    <t>Vida útil em meses</t>
  </si>
  <si>
    <t>Calça masculina</t>
  </si>
  <si>
    <t>PLANILHA DE CUSTO E FORMAÇÃO DE PREÇO</t>
  </si>
  <si>
    <t>DISCRIMINAÇÃO DOS SERVIÇOS ( DADOS REFERENTES À CONTRATAÇÃO)</t>
  </si>
  <si>
    <t>A - Data da apresentação da proposta</t>
  </si>
  <si>
    <t>B - Município/UF</t>
  </si>
  <si>
    <t>Brasília/DF</t>
  </si>
  <si>
    <t>C - Ano do acordo, da convenção coletiva ou sentença normativa em dissídio coletivo</t>
  </si>
  <si>
    <t>D - Tipo de serviço</t>
  </si>
  <si>
    <t>E - Unidade de medida</t>
  </si>
  <si>
    <t>posto de serviço</t>
  </si>
  <si>
    <t>F - Quantidade total a contratar (em função da unidade de medida)</t>
  </si>
  <si>
    <t>G - Nº de meses de execução contratual</t>
  </si>
  <si>
    <t>MÃO DE OBRA VINCULADA À EXECUÇÃO CONTRATUAL</t>
  </si>
  <si>
    <t>Unidade de medida - tipos e quantitativos</t>
  </si>
  <si>
    <t>Quantidade</t>
  </si>
  <si>
    <t>Nomenclatura de acordo com a Classificação Brasileira de Ocupações - CBO</t>
  </si>
  <si>
    <t>Piso salarial da categoria</t>
  </si>
  <si>
    <t xml:space="preserve">Categoria  profissional </t>
  </si>
  <si>
    <t xml:space="preserve">Próxima Data base da categoria </t>
  </si>
  <si>
    <t>MÓDULO 1: COMPOSIÇÃO DA REMUNERAÇÃO</t>
  </si>
  <si>
    <t>1 - Composição da remuneração (valores mensais por empregado)</t>
  </si>
  <si>
    <t>%</t>
  </si>
  <si>
    <t>Valor (R$)</t>
  </si>
  <si>
    <t>A - Salário</t>
  </si>
  <si>
    <t>B - Adicional Periculosidade (Art. 6º, III, Lei 11.901/2009)</t>
  </si>
  <si>
    <t>Total da Remuneração</t>
  </si>
  <si>
    <t>2 - Benefícios Mensais e Diários</t>
  </si>
  <si>
    <t>Total de Benefícios mensais e diários</t>
  </si>
  <si>
    <t>MÓDULO 3: INSUMOS DIVERSOS</t>
  </si>
  <si>
    <t>A - Uniformes</t>
  </si>
  <si>
    <t>B - Equipamentos - Depreciação</t>
  </si>
  <si>
    <t>C - Material</t>
  </si>
  <si>
    <t>Total dos insumos diversos</t>
  </si>
  <si>
    <t>MÓDULO 4: ENCARGOS SOCIAIS E TRABALHISTAS (obs.: incidem somente sobre o total do MÓDULO 1)</t>
  </si>
  <si>
    <t>Submódulo 4.1: - Encargos previdenciários e FGTS (Considerando que o regime contábil é por lucro real ou presumido)</t>
  </si>
  <si>
    <t>4.1 - Encargos previdenciários e FGTS</t>
  </si>
  <si>
    <t>Percentual</t>
  </si>
  <si>
    <t>A - INSS</t>
  </si>
  <si>
    <t>B - SESI ou SESC</t>
  </si>
  <si>
    <t>C - SENAI ou SENAC</t>
  </si>
  <si>
    <t>D - INCRA</t>
  </si>
  <si>
    <t>E - Salário Educação</t>
  </si>
  <si>
    <t>F - FGTS</t>
  </si>
  <si>
    <t>G - Contribuição Adicional (RAT ajustado = RAT x FAP)</t>
  </si>
  <si>
    <t>H - SEBRAE</t>
  </si>
  <si>
    <t>Total (Submódulo 4.1)</t>
  </si>
  <si>
    <t>Submódulo 4.2: - 13º Salário e Adicional de Férias</t>
  </si>
  <si>
    <t>4.2 - 13º Salário e Adicional de Férias</t>
  </si>
  <si>
    <t>A - 13º Salário</t>
  </si>
  <si>
    <t>B - Adicional de Férias (terço constitucional de férias)</t>
  </si>
  <si>
    <t>Subtotal</t>
  </si>
  <si>
    <t>C - Incidência do Submódulo 4.1 sobre 13º Salário e Adicional de Férias</t>
  </si>
  <si>
    <t>Total (Submódulo 4.2)</t>
  </si>
  <si>
    <t>Submódulo 4.3: - Afastamento Maternidade</t>
  </si>
  <si>
    <t>4.3 - Afastamento Maternidade</t>
  </si>
  <si>
    <t>B - Incidência do Submódulo 4.1 sobre Afastamento Maternidade</t>
  </si>
  <si>
    <t>Total (Submódulo 4.3)</t>
  </si>
  <si>
    <t>Submódulo 4.4: - Provisão para rescisão</t>
  </si>
  <si>
    <t>4.4 - Provisão para rescisão</t>
  </si>
  <si>
    <t>B - Incidência do FGTS sobre avisos prévios indenizado</t>
  </si>
  <si>
    <t>C - Multa do FGTS do aviso prévio indenizado</t>
  </si>
  <si>
    <t>E - Incidência do Submódulo 4.1 sobre aviso prévio  trabalhado</t>
  </si>
  <si>
    <t>F - Multa do FGTS</t>
  </si>
  <si>
    <t>Total (Submódulo 4.4)</t>
  </si>
  <si>
    <t>Submódulo 4.5: - Custo de reposição do profissional ausente</t>
  </si>
  <si>
    <t>4.5 - Custo de reposição do profissional ausente</t>
  </si>
  <si>
    <t xml:space="preserve">A - Férias </t>
  </si>
  <si>
    <t>F - Outros (especificar)</t>
  </si>
  <si>
    <t>G - Incidência do Submódulo 4.1 sobre o custo de reposição</t>
  </si>
  <si>
    <t>Total (Submódulo 4.5)</t>
  </si>
  <si>
    <t>Quadro-resumo - MÓDULO 4 - Encargos sociais e trabalhistas</t>
  </si>
  <si>
    <t>4 - Módulo 4 - Encargos sociais e trabalhistas</t>
  </si>
  <si>
    <t>Total dos encargos sociais e trabalhistas</t>
  </si>
  <si>
    <t>MÓDULO 5: CUSTOS INDIRETOS, LUCRO E TRIBUTOS</t>
  </si>
  <si>
    <t>Submódulo 5.1: - Custos indiretos (incidem sobre a soma dos Módulos de 01 a 04)</t>
  </si>
  <si>
    <t>5.1 - Custos indiretos</t>
  </si>
  <si>
    <t>Submódulo 5.2: - Lucro (incide sobre a soma dos Módulos de 01 a 04 + Submódulo 5.1)</t>
  </si>
  <si>
    <t>5.2 - Lucro</t>
  </si>
  <si>
    <t>Submódulo 5.3: - Tributos (incidem sobre a soma dos Módulos de 01 a 04 + Submódulo 5.1 e 5.2)</t>
  </si>
  <si>
    <t>5.3 Tributos</t>
  </si>
  <si>
    <t>A - Tributos Federais (Considerando que a empresa tem regime contábil pelo lucro real)</t>
  </si>
  <si>
    <t>PIS</t>
  </si>
  <si>
    <t>COFINS</t>
  </si>
  <si>
    <t>B - Tributo Municipal</t>
  </si>
  <si>
    <t>ISS</t>
  </si>
  <si>
    <t>C - Outros tributos</t>
  </si>
  <si>
    <t>Especificar</t>
  </si>
  <si>
    <t>TOTAL DE TRIBUTOS (tributos federais + tributo municipal + outros tributos)</t>
  </si>
  <si>
    <t>(Total de Tributos /100) - 1 = To =</t>
  </si>
  <si>
    <t>(Módulos de 01 a 04 + Submódulos 5.1 e 5.2) =</t>
  </si>
  <si>
    <t>Po</t>
  </si>
  <si>
    <t>(1-To)=</t>
  </si>
  <si>
    <t>Po / (1-To) =</t>
  </si>
  <si>
    <t>P1</t>
  </si>
  <si>
    <t>Total dos Tributos</t>
  </si>
  <si>
    <t>Quadro-resumo - MÓDULO 5 - Custos indiretos, lucro e tributos</t>
  </si>
  <si>
    <t>5 - Módulo 5 - Custos indiretos, lucro e tributos</t>
  </si>
  <si>
    <t>5.3 - Tributos</t>
  </si>
  <si>
    <t>Total dos custos indiretos, lucro e tributos</t>
  </si>
  <si>
    <t>Quadro-resumo do Custo por Empregado</t>
  </si>
  <si>
    <t>Mão-de-obra vinculada à execução contratual (valor por empregado)</t>
  </si>
  <si>
    <t>A - Módulo 1 - Composição da Remuneração</t>
  </si>
  <si>
    <t>B - Módulo 2 - Benefícios mensais e diários</t>
  </si>
  <si>
    <t>C - Módulo 3 - Insumos diversos</t>
  </si>
  <si>
    <t>D - Módulo 4 - Encargos Sociais e Trabalhistas</t>
  </si>
  <si>
    <t>E - Módulo 5 - Custos indiretos, tributos e lucro</t>
  </si>
  <si>
    <t>Valor total por empregado</t>
  </si>
  <si>
    <t>Vigilância Armada</t>
  </si>
  <si>
    <t>5173-30</t>
  </si>
  <si>
    <t>SINDESV-DF</t>
  </si>
  <si>
    <t>Coturno de couro legítimo e material sintético, solado de borracha tipo militar</t>
  </si>
  <si>
    <t>Livro de ocorrências tipo ata com 200 folhas</t>
  </si>
  <si>
    <t>D - Outros a especificar</t>
  </si>
  <si>
    <t>A - Transporte - 15,21 dias trabalhados; passagem R$ 5,50, valor diário R$ 11,00 ( - ) 6% da participação do funcionário</t>
  </si>
  <si>
    <t>Valor Total</t>
  </si>
  <si>
    <t>Depreciação mensal</t>
  </si>
  <si>
    <t>Arma de choque</t>
  </si>
  <si>
    <t>Valor Depreciável</t>
  </si>
  <si>
    <t>Depreciação mensal total por empregado</t>
  </si>
  <si>
    <t xml:space="preserve">Vigilante Armado  - Diurno - 12h X 36h </t>
  </si>
  <si>
    <t xml:space="preserve">ESTIMATIVA DE PREÇO DO UNIFORME NA CONTRATAÇÃO DE VIGILÂNCIA ARMADA </t>
  </si>
  <si>
    <t>Lista de insumo nº</t>
  </si>
  <si>
    <t>Rádio comunicador (Unidade: PAR)</t>
  </si>
  <si>
    <t>Unidade</t>
  </si>
  <si>
    <t xml:space="preserve">un </t>
  </si>
  <si>
    <t>Par</t>
  </si>
  <si>
    <t>Valor total mensal por empregado</t>
  </si>
  <si>
    <t>Valor por empregado</t>
  </si>
  <si>
    <t>Quantidade de empregados</t>
  </si>
  <si>
    <t>Quantidade de postos</t>
  </si>
  <si>
    <t>Valor mensal</t>
  </si>
  <si>
    <t>Valor anual</t>
  </si>
  <si>
    <t>4.6 - Outros (especificar)</t>
  </si>
  <si>
    <t xml:space="preserve">C - Outros </t>
  </si>
  <si>
    <t xml:space="preserve">Vigilante Armado  - Noturno - 12h X 36h </t>
  </si>
  <si>
    <t>Valor por posto</t>
  </si>
  <si>
    <t>-</t>
  </si>
  <si>
    <t>Estimativa total mensal/anual</t>
  </si>
  <si>
    <t>ITEM</t>
  </si>
  <si>
    <r>
      <t xml:space="preserve">A - Afastamento Maternidade </t>
    </r>
    <r>
      <rPr>
        <b/>
        <sz val="8"/>
        <rFont val="Arial"/>
        <family val="2"/>
      </rPr>
      <t>(estima-se que 1% dos prestadores de serviços gozarão licença maternidade no primeiro ano do contrato)</t>
    </r>
  </si>
  <si>
    <r>
      <t xml:space="preserve">A - Aviso Prévio indenizado </t>
    </r>
    <r>
      <rPr>
        <b/>
        <sz val="8"/>
        <rFont val="Arial"/>
        <family val="2"/>
      </rPr>
      <t>(estima-se que 1% dos prestadores de serviço poderão ser demitidos sem concessão do aviso prévio)</t>
    </r>
  </si>
  <si>
    <r>
      <t>B - Ausência por doença</t>
    </r>
    <r>
      <rPr>
        <b/>
        <sz val="8"/>
        <rFont val="Arial"/>
        <family val="2"/>
      </rPr>
      <t xml:space="preserve"> (estima-se 1 falta no ano por motivo de doença)</t>
    </r>
  </si>
  <si>
    <r>
      <t xml:space="preserve">A - Afastamento Maternidade </t>
    </r>
    <r>
      <rPr>
        <b/>
        <sz val="8"/>
        <rFont val="Arial"/>
        <family val="2"/>
      </rPr>
      <t>(estima-se que  1% dos prestadores de serviços gozarão licença maternidade no primeiro ano do contrato)</t>
    </r>
  </si>
  <si>
    <t>Lanterna*</t>
  </si>
  <si>
    <t>Colete à prova de bala proteção nível 2-A*</t>
  </si>
  <si>
    <t>Vigilante SEDE 44h</t>
  </si>
  <si>
    <t xml:space="preserve">Vigilante Armado  - 44h/semanais </t>
  </si>
  <si>
    <t>A - Transporte - 22 dias trabalhados; passagem R$ 5,50, valor diário R$ 11,00 ( - ) 6% da participação do funcionário</t>
  </si>
  <si>
    <t>CCT/2025-2025</t>
  </si>
  <si>
    <t>B - Auxílio alimentação - Valor diário Cl. 12 ª CCT/2025: R$ 49,63; Qtde dias: 15,21 ( - ) 2% de participação do funcionário</t>
  </si>
  <si>
    <t>B - Auxílio alimentação - Valor diário Cl. 12 ª CCT/2025: R$ 49,63; Qtde dias: 22 ( - ) 2% de participação do funcionário</t>
  </si>
  <si>
    <t>F - Fundo p/ indenização de aposentadoria por invalidez  - (CCT/2025 - Cláusula 17ª)</t>
  </si>
  <si>
    <t>MÓDULO 2: BENEFÍCIOS MENSAIS E DIÁRIOS</t>
  </si>
  <si>
    <t>3 - Insumos Diversos</t>
  </si>
  <si>
    <t>G -  Intrajornada indenizada (CCT/2025 - Cláusula 37º , paragrafo 4º)</t>
  </si>
  <si>
    <t>TABELA RESUMO DA CONTRATAÇÃO</t>
  </si>
  <si>
    <t>PA SEI nº 0004539-81.2025.6.07.8100</t>
  </si>
  <si>
    <t>B - Adicional Periculosidade (Lei nº 12.740/2012)</t>
  </si>
  <si>
    <t>C - Auxílio Saúde (CCT/2025 - Cláusula 14ª)</t>
  </si>
  <si>
    <t xml:space="preserve">D - Auxílio Morte/Funeral (CCT/2025, Cláusula 15ª)  </t>
  </si>
  <si>
    <t>Capa de colete em tecido resistente, hip hop ou nylon.</t>
  </si>
  <si>
    <t>Apito e cordão de apito</t>
  </si>
  <si>
    <t>Crachá em PVC, contendo a logomarca da empresa, foto, nome e cargo do funcionário</t>
  </si>
  <si>
    <t>Serviço de vigilância armada</t>
  </si>
  <si>
    <t>Vigilante 12x36h Sede/Central - Diurno</t>
  </si>
  <si>
    <t>Vigilante 12x36h Sede/Central - Noturno</t>
  </si>
  <si>
    <t>Vigilante 12x36h Galpão - Diurno</t>
  </si>
  <si>
    <t>Vigilante 12x36h Galpão - Noturno</t>
  </si>
  <si>
    <t>SEÇÃO DE POLÍCIA JUDICIAL</t>
  </si>
  <si>
    <t>Nº do Processo: 0004539-81.2025.6.07.8100</t>
  </si>
  <si>
    <t>Licitação nº XXX/2026</t>
  </si>
  <si>
    <t xml:space="preserve">Proposta da Licitação: id. </t>
  </si>
  <si>
    <t xml:space="preserve">ESTIMATIVA DO EQUIPAMENTO DE USO DA VIGILÂNCIA </t>
  </si>
  <si>
    <t>ESTIMATIVA DO MATERIAL DE USO DA VIGILÂNCIA</t>
  </si>
  <si>
    <t xml:space="preserve">Valor Unitário </t>
  </si>
  <si>
    <t>Bastão antitumulto em borracha, com porta bastão</t>
  </si>
  <si>
    <t>Espargidor defensivo, spray de pimenta ou lacrimogênio</t>
  </si>
  <si>
    <t>Obs.: Quantidades considerando a prestação do serviço em dois locais e com três postos de serviço 24h.</t>
  </si>
  <si>
    <t>Vigilante Armado  12h X 36h  - (Diurno)</t>
  </si>
  <si>
    <t>E - Fundo Social e Odontológico (CCT/2025 - Cláusula 16ª)</t>
  </si>
  <si>
    <t>Valor total do Material</t>
  </si>
  <si>
    <t>G - Outros</t>
  </si>
  <si>
    <t>C - Adicional Noturno</t>
  </si>
  <si>
    <t>D - Outros</t>
  </si>
  <si>
    <t>C - Outros</t>
  </si>
  <si>
    <t>Subtotal (A + B)</t>
  </si>
  <si>
    <t>D - Aviso Prévio trabalhado (demissão de 100% da mão de obra)</t>
  </si>
  <si>
    <r>
      <t>D - Ausências legais</t>
    </r>
    <r>
      <rPr>
        <b/>
        <sz val="8"/>
        <rFont val="Arial"/>
        <family val="2"/>
      </rPr>
      <t xml:space="preserve"> (estimam-se 3 faltas justificada por ano para 30% da mão de obra)</t>
    </r>
  </si>
  <si>
    <r>
      <t>C - Licença paternidade</t>
    </r>
    <r>
      <rPr>
        <b/>
        <sz val="8"/>
        <rFont val="Arial"/>
        <family val="2"/>
      </rPr>
      <t xml:space="preserve"> (estima-se que 1,57% dos prestadores de serviço tornar-se-ão pais no primeiro ano do contrato)</t>
    </r>
  </si>
  <si>
    <r>
      <t>E - Ausência por acidente de trabalho</t>
    </r>
    <r>
      <rPr>
        <b/>
        <sz val="8"/>
        <rFont val="Arial"/>
        <family val="2"/>
      </rPr>
      <t xml:space="preserve"> (afastamento de 15 dias com ocorrência em 1,2% da mão de obra)</t>
    </r>
  </si>
  <si>
    <t>Os materiais que têm vida útil de 120 meses não sofrerão reajuste, salvo os que forem entregues 1 ano após a data limite para apresentação da proposta.</t>
  </si>
  <si>
    <t xml:space="preserve">A - Custos indiretos </t>
  </si>
  <si>
    <t xml:space="preserve">A - Lucro </t>
  </si>
  <si>
    <r>
      <t xml:space="preserve">1.       Apuração dos percentuais de </t>
    </r>
    <r>
      <rPr>
        <b/>
        <sz val="12"/>
        <color rgb="FF000000"/>
        <rFont val="Aptos Narrow"/>
        <family val="2"/>
      </rPr>
      <t>PIS e COFINS</t>
    </r>
    <r>
      <rPr>
        <sz val="12"/>
        <color theme="1"/>
        <rFont val="Aptos Narrow"/>
        <family val="2"/>
      </rPr>
      <t xml:space="preserve"> (somente para empresas tributadas pelo lucro real)</t>
    </r>
  </si>
  <si>
    <r>
      <t xml:space="preserve">APURAÇÃO DO PERCENTUAL MÉDIO DE RECOLHIMENTO DO </t>
    </r>
    <r>
      <rPr>
        <b/>
        <sz val="12"/>
        <color rgb="FF000000"/>
        <rFont val="Aptos Narrow"/>
        <family val="2"/>
      </rPr>
      <t>PIS</t>
    </r>
  </si>
  <si>
    <t>MÊS</t>
  </si>
  <si>
    <t>FATURAMENTO MENSAL</t>
  </si>
  <si>
    <t>Contribuição apurada</t>
  </si>
  <si>
    <t>Crédito Descontado</t>
  </si>
  <si>
    <t>Contribuição devida</t>
  </si>
  <si>
    <t>Percentual Efetivo</t>
  </si>
  <si>
    <t>A</t>
  </si>
  <si>
    <t>B = A* 1,65%</t>
  </si>
  <si>
    <t>C</t>
  </si>
  <si>
    <t>D = B - C</t>
  </si>
  <si>
    <t>E =  D/A</t>
  </si>
  <si>
    <r>
      <t xml:space="preserve">APURAÇÃO DO PERCENTUAL MÉDIO DE RECOLHIMENTO DO </t>
    </r>
    <r>
      <rPr>
        <b/>
        <sz val="12"/>
        <color rgb="FF000000"/>
        <rFont val="Aptos Narrow"/>
        <family val="2"/>
      </rPr>
      <t>COFINS</t>
    </r>
  </si>
  <si>
    <t>B = A* 7,60%</t>
  </si>
  <si>
    <r>
      <t>TRIBUTOS (Últimos 12 meses -</t>
    </r>
    <r>
      <rPr>
        <b/>
        <sz val="12"/>
        <color rgb="FFFF0000"/>
        <rFont val="Aptos Narrow"/>
        <family val="2"/>
      </rPr>
      <t xml:space="preserve"> de XX/2025 a XX/2026)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</si>
</sst>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  <numFmt numFmtId="165" formatCode="_(&quot;R$ &quot;* #,##0.00_);_(&quot;R$ &quot;* \(#,##0.00\);_(&quot;R$ &quot;* &quot;-&quot;??_);_(@_)"/>
    <numFmt numFmtId="166" formatCode="0.0000000%"/>
    <numFmt numFmtId="167" formatCode="0.000000%"/>
    <numFmt numFmtId="168" formatCode="0.0000"/>
    <numFmt numFmtId="169" formatCode="_(* #,##0.0000_);_(* \(#,##0.0000\);_(* &quot;-&quot;??_);_(@_)"/>
    <numFmt numFmtId="170" formatCode="0.000%"/>
    <numFmt numFmtId="171" formatCode="&quot; &quot;* #,##0.00&quot; &quot;;&quot;-&quot;* #,##0.00&quot; &quot;;&quot; &quot;* &quot;-&quot;#&quot; &quot;;&quot; &quot;@&quot; &quot;"/>
    <numFmt numFmtId="172" formatCode="&quot; &quot;#,##0.00&quot; &quot;;&quot;-&quot;#,##0.00&quot; &quot;;&quot;-&quot;#&quot; &quot;;&quot; &quot;@&quot; &quot;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trike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sz val="14"/>
      <name val="Arial"/>
      <family val="2"/>
    </font>
    <font>
      <u/>
      <sz val="8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rgb="FFFF0000"/>
      <name val="Arial"/>
      <family val="2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0"/>
      <color theme="1"/>
      <name val="Times New Roman"/>
      <family val="1"/>
    </font>
    <font>
      <b/>
      <sz val="12"/>
      <color theme="1"/>
      <name val="Aptos Narrow"/>
      <family val="2"/>
    </font>
    <font>
      <b/>
      <sz val="12"/>
      <color rgb="FFFF0000"/>
      <name val="Aptos Narrow"/>
      <family val="2"/>
    </font>
    <font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0"/>
      <color theme="1"/>
      <name val="Liberation Sans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0CECE"/>
        <bgColor rgb="FFD0CECE"/>
      </patternFill>
    </fill>
    <fill>
      <patternFill patternType="solid">
        <fgColor rgb="FFFFC000"/>
        <bgColor rgb="FFFFC00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 applyNumberFormat="0" applyBorder="0" applyProtection="0"/>
    <xf numFmtId="169" fontId="22" fillId="0" borderId="0" applyFill="0" applyBorder="0" applyProtection="0"/>
    <xf numFmtId="9" fontId="27" fillId="0" borderId="0" applyFont="0" applyFill="0" applyBorder="0" applyAlignment="0" applyProtection="0"/>
  </cellStyleXfs>
  <cellXfs count="25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left"/>
    </xf>
    <xf numFmtId="44" fontId="3" fillId="0" borderId="0" xfId="1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justify" vertical="justify" wrapText="1"/>
    </xf>
    <xf numFmtId="0" fontId="2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justify" vertical="center" wrapText="1"/>
    </xf>
    <xf numFmtId="44" fontId="2" fillId="0" borderId="1" xfId="1" applyFont="1" applyBorder="1" applyAlignment="1">
      <alignment horizontal="right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vertical="center"/>
    </xf>
    <xf numFmtId="0" fontId="0" fillId="0" borderId="1" xfId="0" applyBorder="1"/>
    <xf numFmtId="0" fontId="4" fillId="0" borderId="0" xfId="0" applyFont="1"/>
    <xf numFmtId="0" fontId="8" fillId="4" borderId="4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9" fontId="7" fillId="0" borderId="1" xfId="0" applyNumberFormat="1" applyFont="1" applyBorder="1"/>
    <xf numFmtId="0" fontId="6" fillId="4" borderId="1" xfId="0" applyFont="1" applyFill="1" applyBorder="1"/>
    <xf numFmtId="10" fontId="7" fillId="0" borderId="1" xfId="3" applyNumberFormat="1" applyFont="1" applyBorder="1"/>
    <xf numFmtId="10" fontId="6" fillId="0" borderId="1" xfId="3" applyNumberFormat="1" applyFont="1" applyBorder="1"/>
    <xf numFmtId="0" fontId="0" fillId="3" borderId="0" xfId="0" applyFill="1"/>
    <xf numFmtId="43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44" fontId="2" fillId="0" borderId="2" xfId="1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44" fontId="2" fillId="0" borderId="8" xfId="1" applyFont="1" applyBorder="1" applyAlignment="1">
      <alignment vertical="center" wrapText="1"/>
    </xf>
    <xf numFmtId="0" fontId="3" fillId="0" borderId="8" xfId="0" applyFont="1" applyBorder="1"/>
    <xf numFmtId="164" fontId="2" fillId="3" borderId="1" xfId="1" applyNumberFormat="1" applyFont="1" applyFill="1" applyBorder="1" applyAlignment="1">
      <alignment vertic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/>
    </xf>
    <xf numFmtId="170" fontId="0" fillId="0" borderId="0" xfId="0" applyNumberFormat="1"/>
    <xf numFmtId="0" fontId="13" fillId="0" borderId="0" xfId="0" applyFont="1" applyAlignment="1">
      <alignment horizontal="justify" vertical="center" wrapText="1"/>
    </xf>
    <xf numFmtId="0" fontId="14" fillId="0" borderId="0" xfId="0" applyFont="1"/>
    <xf numFmtId="10" fontId="0" fillId="0" borderId="0" xfId="0" applyNumberFormat="1"/>
    <xf numFmtId="44" fontId="0" fillId="0" borderId="0" xfId="1" applyFont="1"/>
    <xf numFmtId="10" fontId="17" fillId="0" borderId="0" xfId="0" applyNumberFormat="1" applyFont="1" applyAlignment="1">
      <alignment horizontal="center" vertical="center" wrapText="1"/>
    </xf>
    <xf numFmtId="44" fontId="0" fillId="0" borderId="0" xfId="0" applyNumberFormat="1"/>
    <xf numFmtId="4" fontId="0" fillId="0" borderId="0" xfId="0" applyNumberFormat="1"/>
    <xf numFmtId="0" fontId="20" fillId="0" borderId="0" xfId="0" applyFont="1" applyAlignment="1">
      <alignment vertical="center"/>
    </xf>
    <xf numFmtId="0" fontId="21" fillId="0" borderId="0" xfId="0" applyFont="1"/>
    <xf numFmtId="0" fontId="18" fillId="0" borderId="0" xfId="0" applyFont="1"/>
    <xf numFmtId="0" fontId="2" fillId="0" borderId="1" xfId="0" applyFont="1" applyBorder="1" applyAlignment="1">
      <alignment horizontal="justify" vertical="justify" wrapText="1"/>
    </xf>
    <xf numFmtId="44" fontId="2" fillId="0" borderId="1" xfId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44" fontId="2" fillId="0" borderId="8" xfId="1" applyFont="1" applyFill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44" fontId="3" fillId="0" borderId="8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164" fontId="2" fillId="0" borderId="1" xfId="1" applyNumberFormat="1" applyFont="1" applyFill="1" applyBorder="1" applyAlignment="1">
      <alignment vertical="center"/>
    </xf>
    <xf numFmtId="44" fontId="2" fillId="0" borderId="1" xfId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2" fillId="0" borderId="2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5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17" fillId="0" borderId="22" xfId="0" applyFont="1" applyBorder="1" applyAlignment="1">
      <alignment vertical="center" wrapText="1"/>
    </xf>
    <xf numFmtId="0" fontId="15" fillId="0" borderId="23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vertical="center" wrapText="1"/>
    </xf>
    <xf numFmtId="0" fontId="15" fillId="0" borderId="18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44" fontId="17" fillId="0" borderId="27" xfId="1" applyFont="1" applyBorder="1" applyAlignment="1">
      <alignment horizontal="center" vertical="center" wrapText="1"/>
    </xf>
    <xf numFmtId="44" fontId="17" fillId="0" borderId="3" xfId="1" applyFont="1" applyBorder="1" applyAlignment="1">
      <alignment horizontal="center" vertical="center" wrapText="1"/>
    </xf>
    <xf numFmtId="44" fontId="17" fillId="0" borderId="15" xfId="1" applyFont="1" applyBorder="1" applyAlignment="1">
      <alignment horizontal="center" vertical="center" wrapText="1"/>
    </xf>
    <xf numFmtId="44" fontId="16" fillId="0" borderId="26" xfId="1" applyFont="1" applyBorder="1" applyAlignment="1">
      <alignment horizontal="center" vertical="center" wrapText="1"/>
    </xf>
    <xf numFmtId="44" fontId="16" fillId="0" borderId="21" xfId="1" applyFont="1" applyBorder="1" applyAlignment="1">
      <alignment horizontal="center" vertical="center" wrapText="1"/>
    </xf>
    <xf numFmtId="44" fontId="16" fillId="0" borderId="22" xfId="1" applyFont="1" applyBorder="1" applyAlignment="1">
      <alignment horizontal="center" vertical="center" wrapText="1"/>
    </xf>
    <xf numFmtId="44" fontId="17" fillId="0" borderId="34" xfId="1" applyFont="1" applyBorder="1" applyAlignment="1">
      <alignment horizontal="center" vertical="center" wrapText="1"/>
    </xf>
    <xf numFmtId="44" fontId="17" fillId="0" borderId="35" xfId="1" applyFont="1" applyBorder="1" applyAlignment="1">
      <alignment horizontal="center" vertical="center" wrapText="1"/>
    </xf>
    <xf numFmtId="44" fontId="17" fillId="0" borderId="36" xfId="1" applyFont="1" applyBorder="1" applyAlignment="1">
      <alignment horizontal="center" vertical="center" wrapText="1"/>
    </xf>
    <xf numFmtId="44" fontId="16" fillId="0" borderId="32" xfId="1" applyFont="1" applyBorder="1" applyAlignment="1">
      <alignment horizontal="center" vertical="center" wrapText="1"/>
    </xf>
    <xf numFmtId="44" fontId="17" fillId="0" borderId="28" xfId="1" applyFont="1" applyBorder="1" applyAlignment="1">
      <alignment horizontal="center" vertical="center" wrapText="1"/>
    </xf>
    <xf numFmtId="44" fontId="17" fillId="0" borderId="29" xfId="1" applyFont="1" applyBorder="1" applyAlignment="1">
      <alignment horizontal="center" vertical="center" wrapText="1"/>
    </xf>
    <xf numFmtId="44" fontId="17" fillId="0" borderId="30" xfId="1" applyFont="1" applyBorder="1" applyAlignment="1">
      <alignment horizontal="center" vertical="center" wrapText="1"/>
    </xf>
    <xf numFmtId="44" fontId="16" fillId="0" borderId="31" xfId="1" applyFont="1" applyBorder="1" applyAlignment="1">
      <alignment horizontal="center" vertical="center" wrapText="1"/>
    </xf>
    <xf numFmtId="44" fontId="3" fillId="0" borderId="2" xfId="1" applyFont="1" applyBorder="1" applyAlignment="1">
      <alignment vertical="center" wrapText="1"/>
    </xf>
    <xf numFmtId="10" fontId="7" fillId="6" borderId="1" xfId="3" applyNumberFormat="1" applyFont="1" applyFill="1" applyBorder="1"/>
    <xf numFmtId="166" fontId="7" fillId="6" borderId="1" xfId="3" applyNumberFormat="1" applyFont="1" applyFill="1" applyBorder="1" applyAlignment="1">
      <alignment vertical="center"/>
    </xf>
    <xf numFmtId="167" fontId="7" fillId="6" borderId="1" xfId="3" applyNumberFormat="1" applyFont="1" applyFill="1" applyBorder="1" applyAlignment="1">
      <alignment vertical="center"/>
    </xf>
    <xf numFmtId="0" fontId="25" fillId="0" borderId="0" xfId="4" applyFont="1" applyAlignment="1">
      <alignment horizontal="left" indent="4"/>
    </xf>
    <xf numFmtId="0" fontId="25" fillId="0" borderId="0" xfId="4" applyFont="1"/>
    <xf numFmtId="0" fontId="23" fillId="0" borderId="11" xfId="4" applyFont="1" applyBorder="1" applyAlignment="1">
      <alignment horizontal="center"/>
    </xf>
    <xf numFmtId="0" fontId="23" fillId="0" borderId="14" xfId="4" applyFont="1" applyBorder="1" applyAlignment="1">
      <alignment horizontal="center"/>
    </xf>
    <xf numFmtId="0" fontId="23" fillId="0" borderId="12" xfId="4" applyFont="1" applyBorder="1" applyAlignment="1">
      <alignment horizontal="center"/>
    </xf>
    <xf numFmtId="0" fontId="23" fillId="0" borderId="24" xfId="4" applyFont="1" applyBorder="1" applyAlignment="1">
      <alignment horizontal="center"/>
    </xf>
    <xf numFmtId="0" fontId="23" fillId="0" borderId="31" xfId="4" applyFont="1" applyBorder="1" applyAlignment="1">
      <alignment horizontal="center"/>
    </xf>
    <xf numFmtId="0" fontId="23" fillId="0" borderId="32" xfId="4" applyFont="1" applyBorder="1" applyAlignment="1">
      <alignment horizontal="center"/>
    </xf>
    <xf numFmtId="0" fontId="25" fillId="0" borderId="41" xfId="4" applyNumberFormat="1" applyFont="1" applyBorder="1" applyAlignment="1">
      <alignment horizontal="center"/>
    </xf>
    <xf numFmtId="171" fontId="25" fillId="9" borderId="42" xfId="4" applyNumberFormat="1" applyFont="1" applyFill="1" applyBorder="1"/>
    <xf numFmtId="172" fontId="25" fillId="0" borderId="43" xfId="5" applyNumberFormat="1" applyFont="1" applyBorder="1"/>
    <xf numFmtId="172" fontId="25" fillId="9" borderId="42" xfId="5" applyNumberFormat="1" applyFont="1" applyFill="1" applyBorder="1"/>
    <xf numFmtId="171" fontId="25" fillId="0" borderId="43" xfId="4" applyNumberFormat="1" applyFont="1" applyBorder="1"/>
    <xf numFmtId="2" fontId="25" fillId="0" borderId="42" xfId="6" applyNumberFormat="1" applyFont="1" applyBorder="1"/>
    <xf numFmtId="0" fontId="25" fillId="0" borderId="44" xfId="4" applyNumberFormat="1" applyFont="1" applyBorder="1" applyAlignment="1">
      <alignment horizontal="center"/>
    </xf>
    <xf numFmtId="171" fontId="25" fillId="9" borderId="29" xfId="4" applyNumberFormat="1" applyFont="1" applyFill="1" applyBorder="1"/>
    <xf numFmtId="172" fontId="25" fillId="0" borderId="35" xfId="5" applyNumberFormat="1" applyFont="1" applyBorder="1"/>
    <xf numFmtId="172" fontId="25" fillId="9" borderId="29" xfId="5" applyNumberFormat="1" applyFont="1" applyFill="1" applyBorder="1"/>
    <xf numFmtId="171" fontId="25" fillId="0" borderId="35" xfId="4" applyNumberFormat="1" applyFont="1" applyBorder="1"/>
    <xf numFmtId="172" fontId="25" fillId="7" borderId="29" xfId="5" applyNumberFormat="1" applyFont="1" applyFill="1" applyBorder="1"/>
    <xf numFmtId="0" fontId="25" fillId="0" borderId="45" xfId="4" applyNumberFormat="1" applyFont="1" applyBorder="1" applyAlignment="1">
      <alignment horizontal="center"/>
    </xf>
    <xf numFmtId="171" fontId="25" fillId="9" borderId="31" xfId="4" applyNumberFormat="1" applyFont="1" applyFill="1" applyBorder="1"/>
    <xf numFmtId="172" fontId="25" fillId="0" borderId="0" xfId="5" applyNumberFormat="1" applyFont="1" applyBorder="1"/>
    <xf numFmtId="172" fontId="25" fillId="9" borderId="31" xfId="5" applyNumberFormat="1" applyFont="1" applyFill="1" applyBorder="1"/>
    <xf numFmtId="171" fontId="25" fillId="0" borderId="0" xfId="4" applyNumberFormat="1" applyFont="1" applyBorder="1"/>
    <xf numFmtId="0" fontId="25" fillId="9" borderId="11" xfId="4" applyFont="1" applyFill="1" applyBorder="1"/>
    <xf numFmtId="0" fontId="25" fillId="9" borderId="12" xfId="4" applyFont="1" applyFill="1" applyBorder="1"/>
    <xf numFmtId="2" fontId="23" fillId="10" borderId="40" xfId="4" applyNumberFormat="1" applyFont="1" applyFill="1" applyBorder="1" applyAlignment="1">
      <alignment horizontal="center"/>
    </xf>
    <xf numFmtId="17" fontId="23" fillId="0" borderId="24" xfId="4" applyNumberFormat="1" applyFont="1" applyBorder="1" applyAlignment="1">
      <alignment horizontal="center"/>
    </xf>
    <xf numFmtId="171" fontId="25" fillId="9" borderId="46" xfId="4" applyNumberFormat="1" applyFont="1" applyFill="1" applyBorder="1"/>
    <xf numFmtId="172" fontId="25" fillId="0" borderId="33" xfId="5" applyNumberFormat="1" applyFont="1" applyBorder="1"/>
    <xf numFmtId="172" fontId="25" fillId="9" borderId="46" xfId="5" applyNumberFormat="1" applyFont="1" applyFill="1" applyBorder="1"/>
    <xf numFmtId="171" fontId="25" fillId="0" borderId="33" xfId="4" applyNumberFormat="1" applyFont="1" applyBorder="1"/>
    <xf numFmtId="2" fontId="23" fillId="10" borderId="14" xfId="4" applyNumberFormat="1" applyFont="1" applyFill="1" applyBorder="1" applyAlignment="1">
      <alignment horizontal="center"/>
    </xf>
    <xf numFmtId="0" fontId="19" fillId="7" borderId="11" xfId="0" applyFont="1" applyFill="1" applyBorder="1" applyAlignment="1">
      <alignment horizontal="center" vertical="center"/>
    </xf>
    <xf numFmtId="0" fontId="19" fillId="7" borderId="12" xfId="0" applyFont="1" applyFill="1" applyBorder="1" applyAlignment="1">
      <alignment horizontal="center" vertical="center"/>
    </xf>
    <xf numFmtId="0" fontId="19" fillId="7" borderId="13" xfId="0" applyFont="1" applyFill="1" applyBorder="1" applyAlignment="1">
      <alignment horizontal="center" vertical="center"/>
    </xf>
    <xf numFmtId="0" fontId="19" fillId="7" borderId="16" xfId="0" applyFont="1" applyFill="1" applyBorder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0" fontId="19" fillId="7" borderId="17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165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44" fontId="6" fillId="0" borderId="1" xfId="1" applyFont="1" applyBorder="1" applyAlignment="1">
      <alignment horizontal="right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2" fontId="7" fillId="0" borderId="1" xfId="0" applyNumberFormat="1" applyFont="1" applyBorder="1" applyAlignment="1">
      <alignment horizontal="left"/>
    </xf>
    <xf numFmtId="44" fontId="7" fillId="0" borderId="1" xfId="1" applyFont="1" applyBorder="1" applyAlignment="1">
      <alignment vertical="justify"/>
    </xf>
    <xf numFmtId="44" fontId="6" fillId="0" borderId="1" xfId="1" applyFont="1" applyBorder="1" applyAlignment="1"/>
    <xf numFmtId="0" fontId="7" fillId="0" borderId="1" xfId="0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left" vertical="center"/>
    </xf>
    <xf numFmtId="44" fontId="7" fillId="0" borderId="1" xfId="1" applyFont="1" applyBorder="1" applyAlignment="1">
      <alignment horizontal="center" vertical="center"/>
    </xf>
    <xf numFmtId="168" fontId="7" fillId="0" borderId="1" xfId="0" applyNumberFormat="1" applyFont="1" applyBorder="1" applyAlignment="1">
      <alignment horizontal="left"/>
    </xf>
    <xf numFmtId="44" fontId="7" fillId="5" borderId="1" xfId="1" applyFont="1" applyFill="1" applyBorder="1" applyAlignment="1">
      <alignment horizontal="center" vertical="center"/>
    </xf>
    <xf numFmtId="43" fontId="7" fillId="0" borderId="1" xfId="2" applyFont="1" applyBorder="1" applyAlignment="1">
      <alignment horizontal="center"/>
    </xf>
    <xf numFmtId="169" fontId="7" fillId="5" borderId="1" xfId="2" applyNumberFormat="1" applyFont="1" applyFill="1" applyBorder="1" applyAlignment="1"/>
    <xf numFmtId="10" fontId="6" fillId="4" borderId="1" xfId="3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/>
    </xf>
    <xf numFmtId="44" fontId="7" fillId="0" borderId="1" xfId="1" applyFont="1" applyBorder="1" applyAlignment="1">
      <alignment horizontal="right"/>
    </xf>
    <xf numFmtId="0" fontId="7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44" fontId="7" fillId="0" borderId="2" xfId="1" applyFont="1" applyBorder="1" applyAlignment="1">
      <alignment horizontal="right" vertical="center"/>
    </xf>
    <xf numFmtId="44" fontId="7" fillId="0" borderId="4" xfId="1" applyFont="1" applyBorder="1" applyAlignment="1">
      <alignment horizontal="right" vertical="center"/>
    </xf>
    <xf numFmtId="44" fontId="6" fillId="0" borderId="1" xfId="1" applyFont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0" fillId="0" borderId="4" xfId="0" applyBorder="1"/>
    <xf numFmtId="44" fontId="7" fillId="0" borderId="1" xfId="1" applyFont="1" applyFill="1" applyBorder="1" applyAlignment="1">
      <alignment horizontal="right"/>
    </xf>
    <xf numFmtId="44" fontId="7" fillId="0" borderId="1" xfId="1" quotePrefix="1" applyFont="1" applyBorder="1" applyAlignment="1">
      <alignment horizontal="righ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12" fillId="3" borderId="2" xfId="0" applyFont="1" applyFill="1" applyBorder="1" applyAlignment="1">
      <alignment horizontal="left"/>
    </xf>
    <xf numFmtId="0" fontId="12" fillId="3" borderId="3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4" fontId="7" fillId="0" borderId="2" xfId="1" applyFont="1" applyFill="1" applyBorder="1" applyAlignment="1">
      <alignment horizontal="center"/>
    </xf>
    <xf numFmtId="44" fontId="7" fillId="0" borderId="4" xfId="1" applyFont="1" applyFill="1" applyBorder="1" applyAlignment="1">
      <alignment horizontal="center"/>
    </xf>
    <xf numFmtId="44" fontId="7" fillId="0" borderId="2" xfId="1" applyFont="1" applyBorder="1" applyAlignment="1">
      <alignment horizontal="center"/>
    </xf>
    <xf numFmtId="44" fontId="7" fillId="0" borderId="4" xfId="1" applyFont="1" applyBorder="1" applyAlignment="1">
      <alignment horizontal="center"/>
    </xf>
    <xf numFmtId="44" fontId="7" fillId="0" borderId="1" xfId="1" applyFont="1" applyBorder="1" applyAlignment="1">
      <alignment horizontal="left"/>
    </xf>
    <xf numFmtId="44" fontId="7" fillId="3" borderId="1" xfId="1" applyFont="1" applyFill="1" applyBorder="1" applyAlignment="1">
      <alignment horizontal="left"/>
    </xf>
    <xf numFmtId="44" fontId="7" fillId="8" borderId="1" xfId="1" applyFont="1" applyFill="1" applyBorder="1" applyAlignment="1">
      <alignment horizontal="left"/>
    </xf>
    <xf numFmtId="0" fontId="6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1" applyNumberFormat="1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7" fontId="5" fillId="0" borderId="1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5" fontId="7" fillId="3" borderId="1" xfId="1" applyNumberFormat="1" applyFont="1" applyFill="1" applyBorder="1" applyAlignment="1">
      <alignment horizontal="left"/>
    </xf>
    <xf numFmtId="165" fontId="7" fillId="3" borderId="2" xfId="1" applyNumberFormat="1" applyFont="1" applyFill="1" applyBorder="1" applyAlignment="1">
      <alignment horizontal="left"/>
    </xf>
    <xf numFmtId="165" fontId="7" fillId="3" borderId="4" xfId="1" applyNumberFormat="1" applyFont="1" applyFill="1" applyBorder="1" applyAlignment="1">
      <alignment horizontal="left"/>
    </xf>
    <xf numFmtId="0" fontId="7" fillId="6" borderId="2" xfId="0" applyFont="1" applyFill="1" applyBorder="1" applyAlignment="1">
      <alignment horizontal="left" wrapText="1"/>
    </xf>
    <xf numFmtId="0" fontId="7" fillId="6" borderId="3" xfId="0" applyFont="1" applyFill="1" applyBorder="1" applyAlignment="1">
      <alignment horizontal="left" wrapText="1"/>
    </xf>
    <xf numFmtId="0" fontId="7" fillId="6" borderId="4" xfId="0" applyFont="1" applyFill="1" applyBorder="1" applyAlignment="1">
      <alignment horizontal="left" wrapText="1"/>
    </xf>
    <xf numFmtId="44" fontId="7" fillId="6" borderId="2" xfId="1" applyFont="1" applyFill="1" applyBorder="1" applyAlignment="1">
      <alignment horizontal="center"/>
    </xf>
    <xf numFmtId="44" fontId="7" fillId="6" borderId="4" xfId="1" applyFont="1" applyFill="1" applyBorder="1" applyAlignment="1">
      <alignment horizontal="center"/>
    </xf>
    <xf numFmtId="43" fontId="7" fillId="0" borderId="1" xfId="2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 wrapText="1"/>
    </xf>
    <xf numFmtId="0" fontId="3" fillId="6" borderId="12" xfId="0" applyFont="1" applyFill="1" applyBorder="1" applyAlignment="1">
      <alignment horizontal="center" wrapText="1"/>
    </xf>
    <xf numFmtId="0" fontId="3" fillId="6" borderId="13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3" fillId="0" borderId="37" xfId="4" applyFont="1" applyBorder="1" applyAlignment="1">
      <alignment horizontal="center" vertical="top" wrapText="1"/>
    </xf>
    <xf numFmtId="0" fontId="23" fillId="0" borderId="38" xfId="4" applyFont="1" applyBorder="1" applyAlignment="1">
      <alignment horizontal="center"/>
    </xf>
    <xf numFmtId="0" fontId="23" fillId="0" borderId="39" xfId="4" applyFont="1" applyBorder="1" applyAlignment="1">
      <alignment horizontal="center"/>
    </xf>
    <xf numFmtId="0" fontId="23" fillId="0" borderId="40" xfId="4" applyFont="1" applyBorder="1" applyAlignment="1">
      <alignment horizontal="center"/>
    </xf>
  </cellXfs>
  <cellStyles count="7">
    <cellStyle name="Moeda" xfId="1" builtinId="4"/>
    <cellStyle name="Normal" xfId="0" builtinId="0"/>
    <cellStyle name="Normal 10" xfId="4" xr:uid="{00000000-0005-0000-0000-000002000000}"/>
    <cellStyle name="Porcentagem" xfId="3" builtinId="5"/>
    <cellStyle name="Porcentagem 9" xfId="6" xr:uid="{00000000-0005-0000-0000-000004000000}"/>
    <cellStyle name="Vírgula" xfId="2" builtinId="3"/>
    <cellStyle name="Vírgula 9" xfId="5" xr:uid="{00000000-0005-0000-0000-000006000000}"/>
  </cellStyles>
  <dxfs count="0"/>
  <tableStyles count="0" defaultTableStyle="TableStyleMedium2" defaultPivotStyle="PivotStyleLight16"/>
  <colors>
    <mruColors>
      <color rgb="FFFFFF99"/>
      <color rgb="FFE1F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666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666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666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666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666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666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666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666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666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666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743A22-A0C0-4A3C-99D0-5C4CA1FEC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DB0F6D0-724A-42B8-BBC6-41FF2C54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CBB56DB5-FD35-436F-B9E2-CE8C70CF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440DB13A-0C32-4108-9FDE-9D2108718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AD83774-C0D9-435E-ADC2-0D5A5AE09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617A221-E056-41A4-8D6B-6B33A522B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5E4B328E-98D3-49BE-882E-37145FB4D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71413D95-F533-4B0F-BDEA-3AC140331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DBC29417-3926-43D1-9674-57A624217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73438CA7-8F6D-4CC5-985B-74CC8B71D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D51FF4F5-6206-4994-83E6-FC68DD553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DD746A81-8496-4F34-8941-09C029D29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D9B33872-1EC3-40F4-8D25-6CC2B79B8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C8FE9F18-AF90-4A6A-AB78-45A3B1FF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3BF1190E-B665-4580-A21B-A65DB9716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891C98D5-E570-4546-AE8F-69A48F76D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610E785C-DFB1-48C2-9DA8-E4EFD438D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20762082-97DD-4BC6-BFF8-29634050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A447A586-9D09-4278-BAE8-561FD485E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7F43FC60-38CB-4709-9C46-5A5092EF4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E18BC546-534E-4D82-A1D4-3E0D7DE39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AF168A32-715B-4E4D-AFE1-25BE6F06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4" name="Picture 2">
          <a:extLst>
            <a:ext uri="{FF2B5EF4-FFF2-40B4-BE49-F238E27FC236}">
              <a16:creationId xmlns:a16="http://schemas.microsoft.com/office/drawing/2014/main" id="{B5B9E8A2-D81E-4C8D-A9E3-57E3E9927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FC54601E-C71D-4284-B777-38CB1E8DB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6" name="Picture 2">
          <a:extLst>
            <a:ext uri="{FF2B5EF4-FFF2-40B4-BE49-F238E27FC236}">
              <a16:creationId xmlns:a16="http://schemas.microsoft.com/office/drawing/2014/main" id="{4970BDEA-3A60-4506-91A0-FBA7D655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72B06D0E-61DE-4345-9DB7-5E8938E25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FDBDE532-977D-4410-A019-568D068C2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204DDD6A-6E60-4AE7-B55A-9791C79DF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EB772FA0-D8B8-4AFC-BAA9-7637245CD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469B2F0C-9A5B-4930-9E31-B0CAF4950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95275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</xdr:row>
      <xdr:rowOff>66675</xdr:rowOff>
    </xdr:from>
    <xdr:to>
      <xdr:col>0</xdr:col>
      <xdr:colOff>600075</xdr:colOff>
      <xdr:row>4</xdr:row>
      <xdr:rowOff>152400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33400"/>
          <a:ext cx="5905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0</xdr:row>
      <xdr:rowOff>152400</xdr:rowOff>
    </xdr:from>
    <xdr:to>
      <xdr:col>2</xdr:col>
      <xdr:colOff>666750</xdr:colOff>
      <xdr:row>5</xdr:row>
      <xdr:rowOff>141817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050" y="152400"/>
          <a:ext cx="876300" cy="8847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0</xdr:row>
      <xdr:rowOff>152400</xdr:rowOff>
    </xdr:from>
    <xdr:to>
      <xdr:col>2</xdr:col>
      <xdr:colOff>666750</xdr:colOff>
      <xdr:row>5</xdr:row>
      <xdr:rowOff>141817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050" y="152400"/>
          <a:ext cx="876300" cy="799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0</xdr:row>
      <xdr:rowOff>152400</xdr:rowOff>
    </xdr:from>
    <xdr:to>
      <xdr:col>2</xdr:col>
      <xdr:colOff>666750</xdr:colOff>
      <xdr:row>5</xdr:row>
      <xdr:rowOff>141817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050" y="152400"/>
          <a:ext cx="876300" cy="799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"/>
  <sheetViews>
    <sheetView tabSelected="1" zoomScale="130" zoomScaleNormal="130" workbookViewId="0">
      <selection sqref="A1:H1"/>
    </sheetView>
  </sheetViews>
  <sheetFormatPr defaultRowHeight="15"/>
  <cols>
    <col min="1" max="1" width="5.42578125" customWidth="1"/>
    <col min="2" max="2" width="29.140625" bestFit="1" customWidth="1"/>
    <col min="3" max="3" width="11.7109375" customWidth="1"/>
    <col min="4" max="4" width="15.140625" customWidth="1"/>
    <col min="5" max="5" width="14.42578125" customWidth="1"/>
    <col min="6" max="6" width="11.140625" bestFit="1" customWidth="1"/>
    <col min="7" max="7" width="12.5703125" customWidth="1"/>
    <col min="8" max="8" width="19" customWidth="1"/>
    <col min="10" max="10" width="16.5703125" bestFit="1" customWidth="1"/>
  </cols>
  <sheetData>
    <row r="1" spans="1:27" ht="16.5" thickBot="1">
      <c r="A1" s="139" t="s">
        <v>182</v>
      </c>
      <c r="B1" s="140"/>
      <c r="C1" s="140"/>
      <c r="D1" s="140"/>
      <c r="E1" s="140"/>
      <c r="F1" s="140"/>
      <c r="G1" s="140"/>
      <c r="H1" s="141"/>
    </row>
    <row r="2" spans="1:27" s="51" customFormat="1" ht="15.75" customHeight="1" thickBot="1">
      <c r="A2" s="139" t="s">
        <v>0</v>
      </c>
      <c r="B2" s="140"/>
      <c r="C2" s="140"/>
      <c r="D2" s="140"/>
      <c r="E2" s="140"/>
      <c r="F2" s="140"/>
      <c r="G2" s="140"/>
      <c r="H2" s="141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s="51" customFormat="1" ht="15.75" customHeight="1" thickBot="1">
      <c r="A3" s="142" t="s">
        <v>1</v>
      </c>
      <c r="B3" s="143"/>
      <c r="C3" s="143"/>
      <c r="D3" s="143"/>
      <c r="E3" s="143"/>
      <c r="F3" s="143"/>
      <c r="G3" s="143"/>
      <c r="H3" s="144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</row>
    <row r="4" spans="1:27" s="51" customFormat="1" ht="15.75" customHeight="1" thickBot="1">
      <c r="A4" s="139" t="s">
        <v>181</v>
      </c>
      <c r="B4" s="140"/>
      <c r="C4" s="140"/>
      <c r="D4" s="140"/>
      <c r="E4" s="140"/>
      <c r="F4" s="140"/>
      <c r="G4" s="140"/>
      <c r="H4" s="141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</row>
    <row r="5" spans="1:27" ht="34.5" thickBot="1">
      <c r="A5" s="73" t="s">
        <v>164</v>
      </c>
      <c r="B5" s="70" t="s">
        <v>189</v>
      </c>
      <c r="C5" s="86" t="s">
        <v>154</v>
      </c>
      <c r="D5" s="70" t="s">
        <v>155</v>
      </c>
      <c r="E5" s="86" t="s">
        <v>153</v>
      </c>
      <c r="F5" s="70" t="s">
        <v>161</v>
      </c>
      <c r="G5" s="86" t="s">
        <v>156</v>
      </c>
      <c r="H5" s="70" t="s">
        <v>157</v>
      </c>
    </row>
    <row r="6" spans="1:27" ht="15.75" customHeight="1">
      <c r="A6" s="74">
        <v>1</v>
      </c>
      <c r="B6" s="75" t="s">
        <v>190</v>
      </c>
      <c r="C6" s="77">
        <v>4</v>
      </c>
      <c r="D6" s="80">
        <v>2</v>
      </c>
      <c r="E6" s="87">
        <f>'Vigilante 12X36 SEDE DIURNO'!F148</f>
        <v>8911.26</v>
      </c>
      <c r="F6" s="90">
        <f>E6*2</f>
        <v>17822.52</v>
      </c>
      <c r="G6" s="93">
        <f>F6*D6</f>
        <v>35645.040000000001</v>
      </c>
      <c r="H6" s="97">
        <f>G6*12</f>
        <v>427740.48</v>
      </c>
    </row>
    <row r="7" spans="1:27">
      <c r="A7" s="69">
        <v>2</v>
      </c>
      <c r="B7" s="71" t="s">
        <v>191</v>
      </c>
      <c r="C7" s="78">
        <v>4</v>
      </c>
      <c r="D7" s="81">
        <v>2</v>
      </c>
      <c r="E7" s="88">
        <f>'Vigilante 12x36 - SEDE NOTURNO'!F149</f>
        <v>9546.1299999999992</v>
      </c>
      <c r="F7" s="91">
        <f t="shared" ref="F7:F9" si="0">E7*2</f>
        <v>19092.259999999998</v>
      </c>
      <c r="G7" s="94">
        <f>F7*D7</f>
        <v>38184.519999999997</v>
      </c>
      <c r="H7" s="98">
        <f t="shared" ref="H7:H10" si="1">G7*12</f>
        <v>458214.24</v>
      </c>
    </row>
    <row r="8" spans="1:27">
      <c r="A8" s="69">
        <v>3</v>
      </c>
      <c r="B8" s="71" t="s">
        <v>171</v>
      </c>
      <c r="C8" s="78">
        <v>2</v>
      </c>
      <c r="D8" s="81">
        <v>2</v>
      </c>
      <c r="E8" s="88">
        <f>'Vigilante 44h SEDE '!F148</f>
        <v>9399.19</v>
      </c>
      <c r="F8" s="91">
        <f>E8*1</f>
        <v>9399.19</v>
      </c>
      <c r="G8" s="94">
        <f>F8*D8</f>
        <v>18798.38</v>
      </c>
      <c r="H8" s="98">
        <f>G8*12</f>
        <v>225580.56</v>
      </c>
    </row>
    <row r="9" spans="1:27">
      <c r="A9" s="69">
        <v>4</v>
      </c>
      <c r="B9" s="71" t="s">
        <v>192</v>
      </c>
      <c r="C9" s="78">
        <v>2</v>
      </c>
      <c r="D9" s="81">
        <v>1</v>
      </c>
      <c r="E9" s="88">
        <f>'Vigilante 12X36 - GALPÃO DIURNO'!F148</f>
        <v>9380.74</v>
      </c>
      <c r="F9" s="91">
        <f t="shared" si="0"/>
        <v>18761.48</v>
      </c>
      <c r="G9" s="94">
        <f>F9*D9</f>
        <v>18761.48</v>
      </c>
      <c r="H9" s="98">
        <f t="shared" si="1"/>
        <v>225137.76</v>
      </c>
    </row>
    <row r="10" spans="1:27" ht="15.75" thickBot="1">
      <c r="A10" s="76">
        <v>5</v>
      </c>
      <c r="B10" s="72" t="s">
        <v>193</v>
      </c>
      <c r="C10" s="79">
        <v>2</v>
      </c>
      <c r="D10" s="82">
        <v>1</v>
      </c>
      <c r="E10" s="89">
        <f>'Vigilante 12X36 - GALPÃO NOTURN'!F149</f>
        <v>10273.120000000001</v>
      </c>
      <c r="F10" s="92">
        <f>E10*2</f>
        <v>20546.240000000002</v>
      </c>
      <c r="G10" s="95">
        <f>F10*D10</f>
        <v>20546.240000000002</v>
      </c>
      <c r="H10" s="99">
        <f t="shared" si="1"/>
        <v>246554.88</v>
      </c>
    </row>
    <row r="11" spans="1:27" ht="15.75" thickBot="1">
      <c r="A11" s="145" t="s">
        <v>163</v>
      </c>
      <c r="B11" s="146"/>
      <c r="C11" s="85">
        <f>SUM(C6:C10)</f>
        <v>14</v>
      </c>
      <c r="D11" s="83">
        <f>SUM(D6:D10)</f>
        <v>8</v>
      </c>
      <c r="E11" s="84" t="s">
        <v>162</v>
      </c>
      <c r="F11" s="83" t="s">
        <v>162</v>
      </c>
      <c r="G11" s="96">
        <f>SUM(G6:G10)</f>
        <v>131935.66</v>
      </c>
      <c r="H11" s="100">
        <f>G11*12</f>
        <v>1583227.92</v>
      </c>
      <c r="J11" s="46"/>
    </row>
    <row r="12" spans="1:27">
      <c r="B12" s="43"/>
      <c r="C12" s="44"/>
      <c r="D12" s="44"/>
      <c r="E12" s="44"/>
      <c r="F12" s="44"/>
      <c r="G12" s="44"/>
      <c r="H12" s="44"/>
    </row>
    <row r="13" spans="1:27">
      <c r="H13" s="47"/>
      <c r="J13" s="46"/>
    </row>
    <row r="14" spans="1:27">
      <c r="J14" s="49"/>
    </row>
    <row r="15" spans="1:27">
      <c r="J15" s="49"/>
    </row>
  </sheetData>
  <mergeCells count="5">
    <mergeCell ref="A1:H1"/>
    <mergeCell ref="A2:H2"/>
    <mergeCell ref="A3:H3"/>
    <mergeCell ref="A4:H4"/>
    <mergeCell ref="A11:B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4"/>
  <sheetViews>
    <sheetView zoomScale="70" zoomScaleNormal="70" workbookViewId="0">
      <selection activeCell="F18" sqref="F18"/>
    </sheetView>
  </sheetViews>
  <sheetFormatPr defaultRowHeight="15"/>
  <cols>
    <col min="1" max="1" width="29.28515625" customWidth="1"/>
    <col min="2" max="2" width="30" bestFit="1" customWidth="1"/>
    <col min="3" max="3" width="25.42578125" bestFit="1" customWidth="1"/>
    <col min="4" max="4" width="23.5703125" bestFit="1" customWidth="1"/>
    <col min="5" max="5" width="23.7109375" bestFit="1" customWidth="1"/>
    <col min="6" max="6" width="21.42578125" bestFit="1" customWidth="1"/>
  </cols>
  <sheetData>
    <row r="1" spans="1:6" ht="15.75">
      <c r="A1" s="255" t="s">
        <v>234</v>
      </c>
      <c r="B1" s="255"/>
      <c r="C1" s="255"/>
      <c r="D1" s="255"/>
      <c r="E1" s="255"/>
      <c r="F1" s="255"/>
    </row>
    <row r="2" spans="1:6" ht="16.5" thickBot="1">
      <c r="A2" s="105" t="s">
        <v>219</v>
      </c>
      <c r="B2" s="106"/>
      <c r="C2" s="106"/>
      <c r="D2" s="106"/>
      <c r="E2" s="106"/>
      <c r="F2" s="106"/>
    </row>
    <row r="3" spans="1:6" ht="16.5" thickBot="1">
      <c r="A3" s="256" t="s">
        <v>220</v>
      </c>
      <c r="B3" s="257"/>
      <c r="C3" s="257"/>
      <c r="D3" s="257"/>
      <c r="E3" s="257"/>
      <c r="F3" s="258"/>
    </row>
    <row r="4" spans="1:6" ht="16.5" thickBot="1">
      <c r="A4" s="107" t="s">
        <v>221</v>
      </c>
      <c r="B4" s="108" t="s">
        <v>222</v>
      </c>
      <c r="C4" s="109" t="s">
        <v>223</v>
      </c>
      <c r="D4" s="108" t="s">
        <v>224</v>
      </c>
      <c r="E4" s="109" t="s">
        <v>225</v>
      </c>
      <c r="F4" s="108" t="s">
        <v>226</v>
      </c>
    </row>
    <row r="5" spans="1:6" ht="16.5" thickBot="1">
      <c r="A5" s="110"/>
      <c r="B5" s="111" t="s">
        <v>227</v>
      </c>
      <c r="C5" s="112" t="s">
        <v>228</v>
      </c>
      <c r="D5" s="111" t="s">
        <v>229</v>
      </c>
      <c r="E5" s="112" t="s">
        <v>230</v>
      </c>
      <c r="F5" s="111" t="s">
        <v>231</v>
      </c>
    </row>
    <row r="6" spans="1:6" ht="15.75">
      <c r="A6" s="113">
        <v>1</v>
      </c>
      <c r="B6" s="114"/>
      <c r="C6" s="115"/>
      <c r="D6" s="116"/>
      <c r="E6" s="117"/>
      <c r="F6" s="118">
        <v>1.65</v>
      </c>
    </row>
    <row r="7" spans="1:6" ht="15.75">
      <c r="A7" s="119">
        <v>2</v>
      </c>
      <c r="B7" s="120"/>
      <c r="C7" s="121"/>
      <c r="D7" s="122"/>
      <c r="E7" s="123"/>
      <c r="F7" s="118">
        <v>1.65</v>
      </c>
    </row>
    <row r="8" spans="1:6" ht="15.75">
      <c r="A8" s="119">
        <v>3</v>
      </c>
      <c r="B8" s="120"/>
      <c r="C8" s="121"/>
      <c r="D8" s="122"/>
      <c r="E8" s="123"/>
      <c r="F8" s="118">
        <v>1.65</v>
      </c>
    </row>
    <row r="9" spans="1:6" ht="15.75">
      <c r="A9" s="119">
        <v>4</v>
      </c>
      <c r="B9" s="120"/>
      <c r="C9" s="121"/>
      <c r="D9" s="122"/>
      <c r="E9" s="123"/>
      <c r="F9" s="118">
        <v>1.65</v>
      </c>
    </row>
    <row r="10" spans="1:6" ht="15.75">
      <c r="A10" s="119">
        <v>5</v>
      </c>
      <c r="B10" s="120"/>
      <c r="C10" s="121"/>
      <c r="D10" s="122"/>
      <c r="E10" s="123"/>
      <c r="F10" s="118">
        <v>1.65</v>
      </c>
    </row>
    <row r="11" spans="1:6" ht="15.75">
      <c r="A11" s="119">
        <v>6</v>
      </c>
      <c r="B11" s="120"/>
      <c r="C11" s="121"/>
      <c r="D11" s="122"/>
      <c r="E11" s="123"/>
      <c r="F11" s="118">
        <v>1.65</v>
      </c>
    </row>
    <row r="12" spans="1:6" ht="15.75">
      <c r="A12" s="119">
        <v>7</v>
      </c>
      <c r="B12" s="120"/>
      <c r="C12" s="121"/>
      <c r="D12" s="122"/>
      <c r="E12" s="123"/>
      <c r="F12" s="118">
        <v>1.65</v>
      </c>
    </row>
    <row r="13" spans="1:6" ht="15.75">
      <c r="A13" s="119">
        <v>8</v>
      </c>
      <c r="B13" s="120"/>
      <c r="C13" s="121"/>
      <c r="D13" s="122"/>
      <c r="E13" s="123"/>
      <c r="F13" s="118">
        <v>1.65</v>
      </c>
    </row>
    <row r="14" spans="1:6" ht="15.75">
      <c r="A14" s="119">
        <v>9</v>
      </c>
      <c r="B14" s="120"/>
      <c r="C14" s="121"/>
      <c r="D14" s="124"/>
      <c r="E14" s="123"/>
      <c r="F14" s="118">
        <v>1.65</v>
      </c>
    </row>
    <row r="15" spans="1:6" ht="15.75">
      <c r="A15" s="119">
        <v>10</v>
      </c>
      <c r="B15" s="120"/>
      <c r="C15" s="121"/>
      <c r="D15" s="122"/>
      <c r="E15" s="123"/>
      <c r="F15" s="118">
        <v>1.65</v>
      </c>
    </row>
    <row r="16" spans="1:6" ht="15.75">
      <c r="A16" s="119">
        <v>11</v>
      </c>
      <c r="B16" s="120"/>
      <c r="C16" s="121"/>
      <c r="D16" s="122"/>
      <c r="E16" s="123"/>
      <c r="F16" s="118">
        <v>1.65</v>
      </c>
    </row>
    <row r="17" spans="1:6" ht="16.5" thickBot="1">
      <c r="A17" s="125">
        <v>12</v>
      </c>
      <c r="B17" s="126"/>
      <c r="C17" s="127"/>
      <c r="D17" s="128"/>
      <c r="E17" s="129"/>
      <c r="F17" s="118">
        <v>1.65</v>
      </c>
    </row>
    <row r="18" spans="1:6" ht="16.5" thickBot="1">
      <c r="A18" s="130"/>
      <c r="B18" s="131"/>
      <c r="C18" s="131"/>
      <c r="D18" s="131"/>
      <c r="E18" s="131"/>
      <c r="F18" s="132">
        <f>AVERAGE(F6:F17)</f>
        <v>1.6499999999999997</v>
      </c>
    </row>
    <row r="19" spans="1:6" ht="16.5" thickBot="1">
      <c r="A19" s="256" t="s">
        <v>232</v>
      </c>
      <c r="B19" s="257"/>
      <c r="C19" s="257"/>
      <c r="D19" s="257"/>
      <c r="E19" s="257"/>
      <c r="F19" s="258"/>
    </row>
    <row r="20" spans="1:6" ht="16.5" thickBot="1">
      <c r="A20" s="107" t="s">
        <v>221</v>
      </c>
      <c r="B20" s="108" t="s">
        <v>222</v>
      </c>
      <c r="C20" s="109" t="s">
        <v>223</v>
      </c>
      <c r="D20" s="108" t="s">
        <v>224</v>
      </c>
      <c r="E20" s="109" t="s">
        <v>225</v>
      </c>
      <c r="F20" s="108" t="s">
        <v>226</v>
      </c>
    </row>
    <row r="21" spans="1:6" ht="16.5" thickBot="1">
      <c r="A21" s="133"/>
      <c r="B21" s="111" t="s">
        <v>227</v>
      </c>
      <c r="C21" s="112" t="s">
        <v>233</v>
      </c>
      <c r="D21" s="111" t="s">
        <v>229</v>
      </c>
      <c r="E21" s="112" t="s">
        <v>230</v>
      </c>
      <c r="F21" s="111" t="s">
        <v>231</v>
      </c>
    </row>
    <row r="22" spans="1:6" ht="15.75">
      <c r="A22" s="113">
        <v>1</v>
      </c>
      <c r="B22" s="114"/>
      <c r="C22" s="115"/>
      <c r="D22" s="116"/>
      <c r="E22" s="117"/>
      <c r="F22" s="118">
        <v>7.6</v>
      </c>
    </row>
    <row r="23" spans="1:6" ht="15.75">
      <c r="A23" s="119">
        <v>2</v>
      </c>
      <c r="B23" s="120"/>
      <c r="C23" s="121"/>
      <c r="D23" s="122"/>
      <c r="E23" s="123"/>
      <c r="F23" s="118">
        <v>7.6</v>
      </c>
    </row>
    <row r="24" spans="1:6" ht="15.75">
      <c r="A24" s="119">
        <v>3</v>
      </c>
      <c r="B24" s="120"/>
      <c r="C24" s="121"/>
      <c r="D24" s="122"/>
      <c r="E24" s="123"/>
      <c r="F24" s="118">
        <v>7.6</v>
      </c>
    </row>
    <row r="25" spans="1:6" ht="15.75">
      <c r="A25" s="119">
        <v>4</v>
      </c>
      <c r="B25" s="120"/>
      <c r="C25" s="121"/>
      <c r="D25" s="122"/>
      <c r="E25" s="123"/>
      <c r="F25" s="118">
        <v>7.6</v>
      </c>
    </row>
    <row r="26" spans="1:6" ht="15.75">
      <c r="A26" s="119">
        <v>5</v>
      </c>
      <c r="B26" s="120"/>
      <c r="C26" s="121"/>
      <c r="D26" s="122"/>
      <c r="E26" s="123"/>
      <c r="F26" s="118">
        <v>7.6</v>
      </c>
    </row>
    <row r="27" spans="1:6" ht="15.75">
      <c r="A27" s="119">
        <v>6</v>
      </c>
      <c r="B27" s="120"/>
      <c r="C27" s="121"/>
      <c r="D27" s="122"/>
      <c r="E27" s="123"/>
      <c r="F27" s="118">
        <v>7.6</v>
      </c>
    </row>
    <row r="28" spans="1:6" ht="15.75">
      <c r="A28" s="119">
        <v>7</v>
      </c>
      <c r="B28" s="120"/>
      <c r="C28" s="121"/>
      <c r="D28" s="122"/>
      <c r="E28" s="123"/>
      <c r="F28" s="118">
        <v>7.6</v>
      </c>
    </row>
    <row r="29" spans="1:6" ht="15.75">
      <c r="A29" s="119">
        <v>8</v>
      </c>
      <c r="B29" s="120"/>
      <c r="C29" s="121"/>
      <c r="D29" s="122"/>
      <c r="E29" s="123"/>
      <c r="F29" s="118">
        <v>7.6</v>
      </c>
    </row>
    <row r="30" spans="1:6" ht="15.75">
      <c r="A30" s="119">
        <v>9</v>
      </c>
      <c r="B30" s="120"/>
      <c r="C30" s="121"/>
      <c r="D30" s="122"/>
      <c r="E30" s="123"/>
      <c r="F30" s="118">
        <v>7.6</v>
      </c>
    </row>
    <row r="31" spans="1:6" ht="15.75">
      <c r="A31" s="119">
        <v>10</v>
      </c>
      <c r="B31" s="120"/>
      <c r="C31" s="121"/>
      <c r="D31" s="122"/>
      <c r="E31" s="123"/>
      <c r="F31" s="118">
        <v>7.6</v>
      </c>
    </row>
    <row r="32" spans="1:6" ht="15.75">
      <c r="A32" s="119">
        <v>11</v>
      </c>
      <c r="B32" s="120"/>
      <c r="C32" s="121"/>
      <c r="D32" s="122"/>
      <c r="E32" s="123"/>
      <c r="F32" s="118">
        <v>7.6</v>
      </c>
    </row>
    <row r="33" spans="1:6" ht="16.5" thickBot="1">
      <c r="A33" s="125">
        <v>12</v>
      </c>
      <c r="B33" s="134"/>
      <c r="C33" s="135"/>
      <c r="D33" s="136"/>
      <c r="E33" s="137"/>
      <c r="F33" s="118">
        <v>7.6</v>
      </c>
    </row>
    <row r="34" spans="1:6" ht="16.5" thickBot="1">
      <c r="A34" s="130"/>
      <c r="B34" s="131"/>
      <c r="C34" s="131"/>
      <c r="D34" s="131"/>
      <c r="E34" s="131"/>
      <c r="F34" s="138">
        <f>AVERAGE(F22:F33)</f>
        <v>7.5999999999999988</v>
      </c>
    </row>
  </sheetData>
  <mergeCells count="3">
    <mergeCell ref="A1:F1"/>
    <mergeCell ref="A3:F3"/>
    <mergeCell ref="A19:F19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1"/>
  <sheetViews>
    <sheetView zoomScale="110" zoomScaleNormal="110" workbookViewId="0">
      <selection activeCell="B3" sqref="B3:G3"/>
    </sheetView>
  </sheetViews>
  <sheetFormatPr defaultRowHeight="15"/>
  <cols>
    <col min="1" max="1" width="14.140625" customWidth="1"/>
    <col min="2" max="2" width="13.7109375" customWidth="1"/>
    <col min="3" max="3" width="17.85546875" customWidth="1"/>
    <col min="4" max="4" width="31.28515625" customWidth="1"/>
    <col min="5" max="5" width="28.140625" customWidth="1"/>
    <col min="6" max="6" width="7.28515625" customWidth="1"/>
    <col min="7" max="7" width="9" customWidth="1"/>
    <col min="8" max="8" width="14.5703125" bestFit="1" customWidth="1"/>
    <col min="9" max="9" width="9.42578125" bestFit="1" customWidth="1"/>
    <col min="10" max="10" width="9.7109375" bestFit="1" customWidth="1"/>
  </cols>
  <sheetData>
    <row r="1" spans="1:8" ht="18">
      <c r="A1" s="223" t="s">
        <v>27</v>
      </c>
      <c r="B1" s="223"/>
      <c r="C1" s="223"/>
      <c r="D1" s="223"/>
      <c r="E1" s="223"/>
      <c r="F1" s="223"/>
      <c r="G1" s="223"/>
    </row>
    <row r="2" spans="1:8">
      <c r="A2" s="19"/>
      <c r="B2" s="224" t="s">
        <v>0</v>
      </c>
      <c r="C2" s="224"/>
      <c r="D2" s="224"/>
      <c r="E2" s="224"/>
      <c r="F2" s="224"/>
      <c r="G2" s="224"/>
    </row>
    <row r="3" spans="1:8">
      <c r="A3" s="19"/>
      <c r="B3" s="224" t="s">
        <v>1</v>
      </c>
      <c r="C3" s="224"/>
      <c r="D3" s="224"/>
      <c r="E3" s="224"/>
      <c r="F3" s="224"/>
      <c r="G3" s="224"/>
    </row>
    <row r="4" spans="1:8">
      <c r="A4" s="19"/>
      <c r="B4" s="225" t="s">
        <v>194</v>
      </c>
      <c r="C4" s="224"/>
      <c r="D4" s="224"/>
      <c r="E4" s="224"/>
      <c r="F4" s="224"/>
      <c r="G4" s="224"/>
    </row>
    <row r="5" spans="1:8">
      <c r="A5" s="19"/>
      <c r="B5" s="224"/>
      <c r="C5" s="224"/>
      <c r="D5" s="224"/>
      <c r="E5" s="224"/>
      <c r="F5" s="224"/>
      <c r="G5" s="224"/>
      <c r="H5" s="20"/>
    </row>
    <row r="6" spans="1:8">
      <c r="A6" s="215" t="s">
        <v>27</v>
      </c>
      <c r="B6" s="215"/>
      <c r="C6" s="215"/>
      <c r="D6" s="215"/>
      <c r="E6" s="215"/>
      <c r="F6" s="215"/>
      <c r="G6" s="215"/>
    </row>
    <row r="7" spans="1:8">
      <c r="A7" s="218"/>
      <c r="B7" s="219"/>
      <c r="C7" s="219"/>
      <c r="D7" s="219"/>
      <c r="E7" s="219"/>
      <c r="F7" s="219"/>
      <c r="G7" s="220"/>
    </row>
    <row r="8" spans="1:8">
      <c r="A8" s="226" t="s">
        <v>195</v>
      </c>
      <c r="B8" s="227"/>
      <c r="C8" s="227"/>
      <c r="D8" s="227"/>
      <c r="E8" s="227"/>
      <c r="F8" s="227"/>
      <c r="G8" s="228"/>
    </row>
    <row r="9" spans="1:8">
      <c r="A9" s="226" t="s">
        <v>196</v>
      </c>
      <c r="B9" s="227"/>
      <c r="C9" s="227"/>
      <c r="D9" s="227"/>
      <c r="E9" s="227"/>
      <c r="F9" s="227"/>
      <c r="G9" s="228"/>
    </row>
    <row r="10" spans="1:8">
      <c r="A10" s="226" t="s">
        <v>197</v>
      </c>
      <c r="B10" s="227"/>
      <c r="C10" s="227"/>
      <c r="D10" s="227"/>
      <c r="E10" s="227"/>
      <c r="F10" s="227"/>
      <c r="G10" s="228"/>
    </row>
    <row r="11" spans="1:8">
      <c r="A11" s="229"/>
      <c r="B11" s="215"/>
      <c r="C11" s="215"/>
      <c r="D11" s="215"/>
      <c r="E11" s="215"/>
      <c r="F11" s="215"/>
      <c r="G11" s="215"/>
    </row>
    <row r="12" spans="1:8">
      <c r="A12" s="215" t="s">
        <v>28</v>
      </c>
      <c r="B12" s="215"/>
      <c r="C12" s="215"/>
      <c r="D12" s="215"/>
      <c r="E12" s="215"/>
      <c r="F12" s="215"/>
      <c r="G12" s="215"/>
    </row>
    <row r="13" spans="1:8">
      <c r="A13" s="230"/>
      <c r="B13" s="230"/>
      <c r="C13" s="230"/>
      <c r="D13" s="230"/>
      <c r="E13" s="230"/>
      <c r="F13" s="230"/>
      <c r="G13" s="230"/>
    </row>
    <row r="14" spans="1:8">
      <c r="A14" s="222" t="s">
        <v>29</v>
      </c>
      <c r="B14" s="222"/>
      <c r="C14" s="222"/>
      <c r="D14" s="222"/>
      <c r="E14" s="215"/>
      <c r="F14" s="215"/>
      <c r="G14" s="215"/>
    </row>
    <row r="15" spans="1:8">
      <c r="A15" s="222" t="s">
        <v>30</v>
      </c>
      <c r="B15" s="222"/>
      <c r="C15" s="222"/>
      <c r="D15" s="222"/>
      <c r="E15" s="215" t="s">
        <v>31</v>
      </c>
      <c r="F15" s="215"/>
      <c r="G15" s="215"/>
    </row>
    <row r="16" spans="1:8">
      <c r="A16" s="222" t="s">
        <v>32</v>
      </c>
      <c r="B16" s="222"/>
      <c r="C16" s="222"/>
      <c r="D16" s="222"/>
      <c r="E16" s="215" t="s">
        <v>174</v>
      </c>
      <c r="F16" s="215"/>
      <c r="G16" s="215"/>
    </row>
    <row r="17" spans="1:8">
      <c r="A17" s="222" t="s">
        <v>33</v>
      </c>
      <c r="B17" s="222"/>
      <c r="C17" s="222"/>
      <c r="D17" s="222"/>
      <c r="E17" s="221" t="s">
        <v>133</v>
      </c>
      <c r="F17" s="221"/>
      <c r="G17" s="221"/>
    </row>
    <row r="18" spans="1:8">
      <c r="A18" s="222" t="s">
        <v>34</v>
      </c>
      <c r="B18" s="222"/>
      <c r="C18" s="222"/>
      <c r="D18" s="222"/>
      <c r="E18" s="215" t="s">
        <v>35</v>
      </c>
      <c r="F18" s="215"/>
      <c r="G18" s="215"/>
    </row>
    <row r="19" spans="1:8">
      <c r="A19" s="222" t="s">
        <v>36</v>
      </c>
      <c r="B19" s="222"/>
      <c r="C19" s="222"/>
      <c r="D19" s="222"/>
      <c r="E19" s="215">
        <v>2</v>
      </c>
      <c r="F19" s="215"/>
      <c r="G19" s="215"/>
    </row>
    <row r="20" spans="1:8">
      <c r="A20" s="222" t="s">
        <v>37</v>
      </c>
      <c r="B20" s="222"/>
      <c r="C20" s="222"/>
      <c r="D20" s="222"/>
      <c r="E20" s="215">
        <v>12</v>
      </c>
      <c r="F20" s="215"/>
      <c r="G20" s="215"/>
    </row>
    <row r="21" spans="1:8">
      <c r="A21" s="217"/>
      <c r="B21" s="217"/>
      <c r="C21" s="217"/>
      <c r="D21" s="217"/>
      <c r="E21" s="217"/>
      <c r="F21" s="217"/>
      <c r="G21" s="217"/>
    </row>
    <row r="22" spans="1:8">
      <c r="A22" s="217" t="s">
        <v>38</v>
      </c>
      <c r="B22" s="217"/>
      <c r="C22" s="217"/>
      <c r="D22" s="217"/>
      <c r="E22" s="217"/>
      <c r="F22" s="217"/>
      <c r="G22" s="217"/>
    </row>
    <row r="23" spans="1:8">
      <c r="A23" s="218"/>
      <c r="B23" s="219"/>
      <c r="C23" s="219"/>
      <c r="D23" s="219"/>
      <c r="E23" s="219"/>
      <c r="F23" s="219"/>
      <c r="G23" s="220"/>
    </row>
    <row r="24" spans="1:8">
      <c r="A24" s="221" t="s">
        <v>39</v>
      </c>
      <c r="B24" s="221"/>
      <c r="C24" s="221"/>
      <c r="D24" s="221"/>
      <c r="E24" s="221"/>
      <c r="F24" s="221"/>
      <c r="G24" s="221"/>
    </row>
    <row r="25" spans="1:8">
      <c r="A25" s="215"/>
      <c r="B25" s="215"/>
      <c r="C25" s="215"/>
      <c r="D25" s="215"/>
      <c r="E25" s="215" t="s">
        <v>40</v>
      </c>
      <c r="F25" s="215"/>
      <c r="G25" s="215"/>
    </row>
    <row r="26" spans="1:8">
      <c r="A26" s="147" t="s">
        <v>204</v>
      </c>
      <c r="B26" s="150"/>
      <c r="C26" s="150"/>
      <c r="D26" s="150"/>
      <c r="E26" s="215">
        <v>4</v>
      </c>
      <c r="F26" s="215"/>
      <c r="G26" s="215"/>
    </row>
    <row r="27" spans="1:8">
      <c r="A27" s="153"/>
      <c r="B27" s="153"/>
      <c r="C27" s="153"/>
      <c r="D27" s="153"/>
      <c r="E27" s="153"/>
      <c r="F27" s="153"/>
      <c r="G27" s="153"/>
    </row>
    <row r="28" spans="1:8">
      <c r="A28" s="147" t="s">
        <v>41</v>
      </c>
      <c r="B28" s="147"/>
      <c r="C28" s="147"/>
      <c r="D28" s="147"/>
      <c r="E28" s="216" t="s">
        <v>134</v>
      </c>
      <c r="F28" s="216"/>
      <c r="G28" s="216"/>
    </row>
    <row r="29" spans="1:8">
      <c r="A29" s="147" t="s">
        <v>42</v>
      </c>
      <c r="B29" s="147"/>
      <c r="C29" s="147"/>
      <c r="D29" s="147"/>
      <c r="E29" s="207">
        <v>2859.58</v>
      </c>
      <c r="F29" s="207"/>
      <c r="G29" s="207"/>
      <c r="H29" s="48"/>
    </row>
    <row r="30" spans="1:8">
      <c r="A30" s="147" t="s">
        <v>43</v>
      </c>
      <c r="B30" s="147"/>
      <c r="C30" s="147"/>
      <c r="D30" s="147"/>
      <c r="E30" s="149" t="s">
        <v>135</v>
      </c>
      <c r="F30" s="149"/>
      <c r="G30" s="149"/>
    </row>
    <row r="31" spans="1:8">
      <c r="A31" s="147" t="s">
        <v>44</v>
      </c>
      <c r="B31" s="147"/>
      <c r="C31" s="147"/>
      <c r="D31" s="147"/>
      <c r="E31" s="214">
        <v>46023</v>
      </c>
      <c r="F31" s="149"/>
      <c r="G31" s="149"/>
    </row>
    <row r="32" spans="1:8">
      <c r="A32" s="211"/>
      <c r="B32" s="212"/>
      <c r="C32" s="212"/>
      <c r="D32" s="212"/>
      <c r="E32" s="212"/>
      <c r="F32" s="212"/>
      <c r="G32" s="213"/>
    </row>
    <row r="33" spans="1:9">
      <c r="A33" s="153" t="s">
        <v>45</v>
      </c>
      <c r="B33" s="153"/>
      <c r="C33" s="153"/>
      <c r="D33" s="153"/>
      <c r="E33" s="153"/>
      <c r="F33" s="153"/>
      <c r="G33" s="153"/>
    </row>
    <row r="34" spans="1:9">
      <c r="A34" s="180" t="s">
        <v>46</v>
      </c>
      <c r="B34" s="181"/>
      <c r="C34" s="181"/>
      <c r="D34" s="181"/>
      <c r="E34" s="21" t="s">
        <v>47</v>
      </c>
      <c r="F34" s="153" t="s">
        <v>48</v>
      </c>
      <c r="G34" s="155"/>
    </row>
    <row r="35" spans="1:9">
      <c r="A35" s="147" t="s">
        <v>49</v>
      </c>
      <c r="B35" s="147"/>
      <c r="C35" s="147"/>
      <c r="D35" s="147"/>
      <c r="E35" s="22"/>
      <c r="F35" s="207">
        <v>2859.58</v>
      </c>
      <c r="G35" s="207"/>
      <c r="H35" s="48"/>
    </row>
    <row r="36" spans="1:9">
      <c r="A36" s="147" t="s">
        <v>183</v>
      </c>
      <c r="B36" s="147"/>
      <c r="C36" s="147"/>
      <c r="D36" s="147"/>
      <c r="E36" s="23">
        <v>30</v>
      </c>
      <c r="F36" s="207">
        <f>F35*30%</f>
        <v>857.87399999999991</v>
      </c>
      <c r="G36" s="207"/>
    </row>
    <row r="37" spans="1:9">
      <c r="A37" s="147" t="s">
        <v>159</v>
      </c>
      <c r="B37" s="147"/>
      <c r="C37" s="147"/>
      <c r="D37" s="147"/>
      <c r="E37" s="22"/>
      <c r="F37" s="207">
        <f>E37*F35</f>
        <v>0</v>
      </c>
      <c r="G37" s="207"/>
    </row>
    <row r="38" spans="1:9">
      <c r="A38" s="210" t="s">
        <v>51</v>
      </c>
      <c r="B38" s="210"/>
      <c r="C38" s="210"/>
      <c r="D38" s="210"/>
      <c r="E38" s="210"/>
      <c r="F38" s="179">
        <f>SUM(F35:G37)</f>
        <v>3717.4539999999997</v>
      </c>
      <c r="G38" s="179"/>
    </row>
    <row r="39" spans="1:9">
      <c r="A39" s="200"/>
      <c r="B39" s="201"/>
      <c r="C39" s="201"/>
      <c r="D39" s="201"/>
      <c r="E39" s="201"/>
      <c r="F39" s="201"/>
      <c r="G39" s="202"/>
    </row>
    <row r="40" spans="1:9">
      <c r="A40" s="153" t="s">
        <v>178</v>
      </c>
      <c r="B40" s="153"/>
      <c r="C40" s="153"/>
      <c r="D40" s="153"/>
      <c r="E40" s="153"/>
      <c r="F40" s="153"/>
      <c r="G40" s="153"/>
    </row>
    <row r="41" spans="1:9">
      <c r="A41" s="180" t="s">
        <v>52</v>
      </c>
      <c r="B41" s="181"/>
      <c r="C41" s="181"/>
      <c r="D41" s="181"/>
      <c r="E41" s="182"/>
      <c r="F41" s="153" t="s">
        <v>48</v>
      </c>
      <c r="G41" s="155"/>
      <c r="I41" s="3"/>
    </row>
    <row r="42" spans="1:9">
      <c r="A42" s="189" t="s">
        <v>139</v>
      </c>
      <c r="B42" s="190"/>
      <c r="C42" s="190"/>
      <c r="D42" s="190"/>
      <c r="E42" s="191"/>
      <c r="F42" s="209">
        <f>((5.5*2)*15.21)-MIN(11*15.21,(F35*0.06))</f>
        <v>0</v>
      </c>
      <c r="G42" s="209"/>
    </row>
    <row r="43" spans="1:9">
      <c r="A43" s="174" t="s">
        <v>175</v>
      </c>
      <c r="B43" s="175"/>
      <c r="C43" s="175"/>
      <c r="D43" s="175"/>
      <c r="E43" s="176"/>
      <c r="F43" s="207">
        <f>(49.63*15.21)-(15.21*49.63*0.02)</f>
        <v>739.77485400000012</v>
      </c>
      <c r="G43" s="207"/>
    </row>
    <row r="44" spans="1:9">
      <c r="A44" s="174" t="s">
        <v>184</v>
      </c>
      <c r="B44" s="175"/>
      <c r="C44" s="175"/>
      <c r="D44" s="175"/>
      <c r="E44" s="176"/>
      <c r="F44" s="207">
        <v>171.87</v>
      </c>
      <c r="G44" s="207"/>
    </row>
    <row r="45" spans="1:9">
      <c r="A45" s="189" t="s">
        <v>185</v>
      </c>
      <c r="B45" s="190"/>
      <c r="C45" s="190"/>
      <c r="D45" s="190"/>
      <c r="E45" s="191"/>
      <c r="F45" s="208">
        <v>19.899999999999999</v>
      </c>
      <c r="G45" s="208"/>
    </row>
    <row r="46" spans="1:9" ht="15" customHeight="1">
      <c r="A46" s="171" t="s">
        <v>205</v>
      </c>
      <c r="B46" s="172"/>
      <c r="C46" s="172"/>
      <c r="D46" s="172"/>
      <c r="E46" s="173"/>
      <c r="F46" s="207">
        <v>11.34</v>
      </c>
      <c r="G46" s="207"/>
      <c r="H46" s="3"/>
    </row>
    <row r="47" spans="1:9" ht="15" customHeight="1">
      <c r="A47" s="171" t="s">
        <v>177</v>
      </c>
      <c r="B47" s="172"/>
      <c r="C47" s="172"/>
      <c r="D47" s="172"/>
      <c r="E47" s="173"/>
      <c r="F47" s="205">
        <v>19.04</v>
      </c>
      <c r="G47" s="206"/>
      <c r="H47" s="3"/>
    </row>
    <row r="48" spans="1:9" ht="15" customHeight="1">
      <c r="A48" s="171" t="s">
        <v>207</v>
      </c>
      <c r="B48" s="172"/>
      <c r="C48" s="172"/>
      <c r="D48" s="172"/>
      <c r="E48" s="173"/>
      <c r="F48" s="203">
        <v>0</v>
      </c>
      <c r="G48" s="204"/>
      <c r="H48" s="3"/>
    </row>
    <row r="49" spans="1:7">
      <c r="A49" s="150" t="s">
        <v>53</v>
      </c>
      <c r="B49" s="150"/>
      <c r="C49" s="150"/>
      <c r="D49" s="150"/>
      <c r="E49" s="150"/>
      <c r="F49" s="152">
        <f>SUM(F42:G48)</f>
        <v>961.9248540000001</v>
      </c>
      <c r="G49" s="152"/>
    </row>
    <row r="50" spans="1:7">
      <c r="A50" s="153" t="s">
        <v>54</v>
      </c>
      <c r="B50" s="153"/>
      <c r="C50" s="153"/>
      <c r="D50" s="153"/>
      <c r="E50" s="153"/>
      <c r="F50" s="153"/>
      <c r="G50" s="153"/>
    </row>
    <row r="51" spans="1:7">
      <c r="A51" s="186" t="s">
        <v>179</v>
      </c>
      <c r="B51" s="187"/>
      <c r="C51" s="187"/>
      <c r="D51" s="187"/>
      <c r="E51" s="188"/>
      <c r="F51" s="153" t="s">
        <v>48</v>
      </c>
      <c r="G51" s="155"/>
    </row>
    <row r="52" spans="1:7">
      <c r="A52" s="147" t="s">
        <v>55</v>
      </c>
      <c r="B52" s="147"/>
      <c r="C52" s="147"/>
      <c r="D52" s="147"/>
      <c r="E52" s="147"/>
      <c r="F52" s="207">
        <f>Uniforme!H17</f>
        <v>57.495000000000005</v>
      </c>
      <c r="G52" s="207"/>
    </row>
    <row r="53" spans="1:7">
      <c r="A53" s="189" t="s">
        <v>56</v>
      </c>
      <c r="B53" s="190"/>
      <c r="C53" s="190"/>
      <c r="D53" s="190"/>
      <c r="E53" s="191"/>
      <c r="F53" s="203">
        <f>Equipamentos!J18</f>
        <v>46.299699702380956</v>
      </c>
      <c r="G53" s="204"/>
    </row>
    <row r="54" spans="1:7">
      <c r="A54" s="174" t="s">
        <v>57</v>
      </c>
      <c r="B54" s="175"/>
      <c r="C54" s="175"/>
      <c r="D54" s="175"/>
      <c r="E54" s="176"/>
      <c r="F54" s="203">
        <f>Material!I18</f>
        <v>12.91077380952381</v>
      </c>
      <c r="G54" s="204"/>
    </row>
    <row r="55" spans="1:7">
      <c r="A55" s="174" t="s">
        <v>138</v>
      </c>
      <c r="B55" s="175"/>
      <c r="C55" s="175"/>
      <c r="D55" s="175"/>
      <c r="E55" s="176"/>
      <c r="F55" s="205"/>
      <c r="G55" s="206"/>
    </row>
    <row r="56" spans="1:7">
      <c r="A56" s="150" t="s">
        <v>58</v>
      </c>
      <c r="B56" s="151"/>
      <c r="C56" s="151"/>
      <c r="D56" s="151"/>
      <c r="E56" s="151"/>
      <c r="F56" s="152">
        <f>SUM(F52:G55)</f>
        <v>116.70547351190478</v>
      </c>
      <c r="G56" s="152"/>
    </row>
    <row r="57" spans="1:7">
      <c r="A57" s="200"/>
      <c r="B57" s="201"/>
      <c r="C57" s="201"/>
      <c r="D57" s="201"/>
      <c r="E57" s="201"/>
      <c r="F57" s="201"/>
      <c r="G57" s="202"/>
    </row>
    <row r="58" spans="1:7">
      <c r="A58" s="153" t="s">
        <v>59</v>
      </c>
      <c r="B58" s="153"/>
      <c r="C58" s="153"/>
      <c r="D58" s="153"/>
      <c r="E58" s="153"/>
      <c r="F58" s="153"/>
      <c r="G58" s="153"/>
    </row>
    <row r="59" spans="1:7">
      <c r="A59" s="153" t="s">
        <v>60</v>
      </c>
      <c r="B59" s="153"/>
      <c r="C59" s="153"/>
      <c r="D59" s="153"/>
      <c r="E59" s="153"/>
      <c r="F59" s="153"/>
      <c r="G59" s="153"/>
    </row>
    <row r="60" spans="1:7">
      <c r="A60" s="154" t="s">
        <v>61</v>
      </c>
      <c r="B60" s="154"/>
      <c r="C60" s="154"/>
      <c r="D60" s="154"/>
      <c r="E60" s="25" t="s">
        <v>62</v>
      </c>
      <c r="F60" s="153" t="s">
        <v>48</v>
      </c>
      <c r="G60" s="155"/>
    </row>
    <row r="61" spans="1:7">
      <c r="A61" s="198" t="s">
        <v>63</v>
      </c>
      <c r="B61" s="198"/>
      <c r="C61" s="198"/>
      <c r="D61" s="198"/>
      <c r="E61" s="26">
        <v>0.2</v>
      </c>
      <c r="F61" s="170">
        <f>E61*F38</f>
        <v>743.49080000000004</v>
      </c>
      <c r="G61" s="170"/>
    </row>
    <row r="62" spans="1:7">
      <c r="A62" s="198" t="s">
        <v>64</v>
      </c>
      <c r="B62" s="198"/>
      <c r="C62" s="198"/>
      <c r="D62" s="198"/>
      <c r="E62" s="26">
        <v>1.4999999999999999E-2</v>
      </c>
      <c r="F62" s="170">
        <f>E62*F38</f>
        <v>55.761809999999997</v>
      </c>
      <c r="G62" s="170"/>
    </row>
    <row r="63" spans="1:7">
      <c r="A63" s="198" t="s">
        <v>65</v>
      </c>
      <c r="B63" s="198"/>
      <c r="C63" s="198"/>
      <c r="D63" s="198"/>
      <c r="E63" s="26">
        <v>0.01</v>
      </c>
      <c r="F63" s="170">
        <f>E63*F38</f>
        <v>37.17454</v>
      </c>
      <c r="G63" s="170"/>
    </row>
    <row r="64" spans="1:7">
      <c r="A64" s="198" t="s">
        <v>66</v>
      </c>
      <c r="B64" s="198"/>
      <c r="C64" s="198"/>
      <c r="D64" s="198"/>
      <c r="E64" s="26">
        <v>2E-3</v>
      </c>
      <c r="F64" s="170">
        <f>E64*F38</f>
        <v>7.4349079999999992</v>
      </c>
      <c r="G64" s="170"/>
    </row>
    <row r="65" spans="1:7">
      <c r="A65" s="198" t="s">
        <v>67</v>
      </c>
      <c r="B65" s="198"/>
      <c r="C65" s="198"/>
      <c r="D65" s="198"/>
      <c r="E65" s="26">
        <v>2.5000000000000001E-2</v>
      </c>
      <c r="F65" s="170">
        <f>E65*F38</f>
        <v>92.936350000000004</v>
      </c>
      <c r="G65" s="170"/>
    </row>
    <row r="66" spans="1:7">
      <c r="A66" s="198" t="s">
        <v>68</v>
      </c>
      <c r="B66" s="198"/>
      <c r="C66" s="198"/>
      <c r="D66" s="198"/>
      <c r="E66" s="26">
        <v>0.08</v>
      </c>
      <c r="F66" s="170">
        <f>E66*F38</f>
        <v>297.39632</v>
      </c>
      <c r="G66" s="170"/>
    </row>
    <row r="67" spans="1:7">
      <c r="A67" s="199" t="s">
        <v>69</v>
      </c>
      <c r="B67" s="199"/>
      <c r="C67" s="199"/>
      <c r="D67" s="199"/>
      <c r="E67" s="102">
        <v>0.03</v>
      </c>
      <c r="F67" s="170">
        <f>E67*F38</f>
        <v>111.52361999999999</v>
      </c>
      <c r="G67" s="170"/>
    </row>
    <row r="68" spans="1:7">
      <c r="A68" s="198" t="s">
        <v>70</v>
      </c>
      <c r="B68" s="198"/>
      <c r="C68" s="198"/>
      <c r="D68" s="198"/>
      <c r="E68" s="26">
        <v>6.0000000000000001E-3</v>
      </c>
      <c r="F68" s="170">
        <f>E68*F38</f>
        <v>22.304724</v>
      </c>
      <c r="G68" s="170"/>
    </row>
    <row r="69" spans="1:7">
      <c r="A69" s="150" t="s">
        <v>71</v>
      </c>
      <c r="B69" s="150"/>
      <c r="C69" s="150"/>
      <c r="D69" s="150"/>
      <c r="E69" s="27">
        <f>SUM(E61:E68)</f>
        <v>0.3680000000000001</v>
      </c>
      <c r="F69" s="152">
        <f>SUM(F61:G68)</f>
        <v>1368.023072</v>
      </c>
      <c r="G69" s="152"/>
    </row>
    <row r="70" spans="1:7">
      <c r="A70" s="153" t="s">
        <v>72</v>
      </c>
      <c r="B70" s="153"/>
      <c r="C70" s="153"/>
      <c r="D70" s="153"/>
      <c r="E70" s="153"/>
      <c r="F70" s="153"/>
      <c r="G70" s="153"/>
    </row>
    <row r="71" spans="1:7">
      <c r="A71" s="180" t="s">
        <v>73</v>
      </c>
      <c r="B71" s="181"/>
      <c r="C71" s="181"/>
      <c r="D71" s="181"/>
      <c r="E71" s="182"/>
      <c r="F71" s="153" t="s">
        <v>48</v>
      </c>
      <c r="G71" s="155"/>
    </row>
    <row r="72" spans="1:7">
      <c r="A72" s="189" t="s">
        <v>74</v>
      </c>
      <c r="B72" s="190"/>
      <c r="C72" s="190"/>
      <c r="D72" s="190"/>
      <c r="E72" s="191"/>
      <c r="F72" s="170">
        <f>F38/12</f>
        <v>309.78783333333331</v>
      </c>
      <c r="G72" s="170"/>
    </row>
    <row r="73" spans="1:7">
      <c r="A73" s="192" t="s">
        <v>75</v>
      </c>
      <c r="B73" s="193"/>
      <c r="C73" s="193"/>
      <c r="D73" s="193"/>
      <c r="E73" s="194"/>
      <c r="F73" s="170">
        <f>F38/3/12</f>
        <v>103.2626111111111</v>
      </c>
      <c r="G73" s="170"/>
    </row>
    <row r="74" spans="1:7">
      <c r="A74" s="195" t="s">
        <v>211</v>
      </c>
      <c r="B74" s="196"/>
      <c r="C74" s="196"/>
      <c r="D74" s="196"/>
      <c r="E74" s="197"/>
      <c r="F74" s="152">
        <f>SUM(F72:G73)</f>
        <v>413.05044444444439</v>
      </c>
      <c r="G74" s="152"/>
    </row>
    <row r="75" spans="1:7">
      <c r="A75" s="174" t="s">
        <v>77</v>
      </c>
      <c r="B75" s="175"/>
      <c r="C75" s="175"/>
      <c r="D75" s="175"/>
      <c r="E75" s="176"/>
      <c r="F75" s="170">
        <f>F74*E69</f>
        <v>152.00256355555558</v>
      </c>
      <c r="G75" s="170"/>
    </row>
    <row r="76" spans="1:7">
      <c r="A76" s="150" t="s">
        <v>78</v>
      </c>
      <c r="B76" s="150"/>
      <c r="C76" s="150"/>
      <c r="D76" s="150"/>
      <c r="E76" s="150"/>
      <c r="F76" s="152">
        <f>SUM(F72,F73,F75)</f>
        <v>565.05300799999998</v>
      </c>
      <c r="G76" s="152"/>
    </row>
    <row r="77" spans="1:7">
      <c r="A77" s="153" t="s">
        <v>79</v>
      </c>
      <c r="B77" s="153"/>
      <c r="C77" s="153"/>
      <c r="D77" s="153"/>
      <c r="E77" s="153"/>
      <c r="F77" s="153"/>
      <c r="G77" s="153"/>
    </row>
    <row r="78" spans="1:7" ht="18" customHeight="1">
      <c r="A78" s="186" t="s">
        <v>80</v>
      </c>
      <c r="B78" s="187"/>
      <c r="C78" s="187"/>
      <c r="D78" s="187"/>
      <c r="E78" s="188"/>
      <c r="F78" s="153" t="s">
        <v>48</v>
      </c>
      <c r="G78" s="155"/>
    </row>
    <row r="79" spans="1:7">
      <c r="A79" s="171" t="s">
        <v>165</v>
      </c>
      <c r="B79" s="172"/>
      <c r="C79" s="172"/>
      <c r="D79" s="172"/>
      <c r="E79" s="173"/>
      <c r="F79" s="170">
        <f>(F38/3+F38)*0.333/12*0.01</f>
        <v>1.37545798</v>
      </c>
      <c r="G79" s="170"/>
    </row>
    <row r="80" spans="1:7">
      <c r="A80" s="147" t="s">
        <v>81</v>
      </c>
      <c r="B80" s="147"/>
      <c r="C80" s="147"/>
      <c r="D80" s="147"/>
      <c r="E80" s="147"/>
      <c r="F80" s="170">
        <f>E69*F79</f>
        <v>0.50616853664000017</v>
      </c>
      <c r="G80" s="170"/>
    </row>
    <row r="81" spans="1:10">
      <c r="A81" s="150" t="s">
        <v>82</v>
      </c>
      <c r="B81" s="150"/>
      <c r="C81" s="150"/>
      <c r="D81" s="150"/>
      <c r="E81" s="150"/>
      <c r="F81" s="152">
        <f>SUM(F79:G80)</f>
        <v>1.8816265166400001</v>
      </c>
      <c r="G81" s="152"/>
      <c r="H81" s="28"/>
    </row>
    <row r="82" spans="1:10">
      <c r="A82" s="153" t="s">
        <v>83</v>
      </c>
      <c r="B82" s="153"/>
      <c r="C82" s="153"/>
      <c r="D82" s="153"/>
      <c r="E82" s="153"/>
      <c r="F82" s="153"/>
      <c r="G82" s="153"/>
    </row>
    <row r="83" spans="1:10">
      <c r="A83" s="180" t="s">
        <v>84</v>
      </c>
      <c r="B83" s="181"/>
      <c r="C83" s="181"/>
      <c r="D83" s="181"/>
      <c r="E83" s="182"/>
      <c r="F83" s="153" t="s">
        <v>48</v>
      </c>
      <c r="G83" s="155"/>
    </row>
    <row r="84" spans="1:10">
      <c r="A84" s="171" t="s">
        <v>166</v>
      </c>
      <c r="B84" s="172"/>
      <c r="C84" s="172"/>
      <c r="D84" s="172"/>
      <c r="E84" s="173"/>
      <c r="F84" s="170">
        <f>(F38/12)*0.01</f>
        <v>3.0978783333333331</v>
      </c>
      <c r="G84" s="170"/>
    </row>
    <row r="85" spans="1:10">
      <c r="A85" s="147" t="s">
        <v>85</v>
      </c>
      <c r="B85" s="147"/>
      <c r="C85" s="147"/>
      <c r="D85" s="147"/>
      <c r="E85" s="147"/>
      <c r="F85" s="185">
        <f>F84*E66</f>
        <v>0.24783026666666666</v>
      </c>
      <c r="G85" s="170"/>
    </row>
    <row r="86" spans="1:10" ht="12.75" customHeight="1">
      <c r="A86" s="171" t="s">
        <v>86</v>
      </c>
      <c r="B86" s="172"/>
      <c r="C86" s="172"/>
      <c r="D86" s="172"/>
      <c r="E86" s="173"/>
      <c r="F86" s="170">
        <f>F85*0.4</f>
        <v>9.9132106666666664E-2</v>
      </c>
      <c r="G86" s="170"/>
      <c r="J86" s="29"/>
    </row>
    <row r="87" spans="1:10" ht="15" customHeight="1">
      <c r="A87" s="171" t="s">
        <v>212</v>
      </c>
      <c r="B87" s="172"/>
      <c r="C87" s="172"/>
      <c r="D87" s="172"/>
      <c r="E87" s="173"/>
      <c r="F87" s="184">
        <f>(F38/30)*0.7/12</f>
        <v>7.2283827777777772</v>
      </c>
      <c r="G87" s="184"/>
      <c r="H87" s="42"/>
    </row>
    <row r="88" spans="1:10">
      <c r="A88" s="147" t="s">
        <v>87</v>
      </c>
      <c r="B88" s="147"/>
      <c r="C88" s="147"/>
      <c r="D88" s="147"/>
      <c r="E88" s="147"/>
      <c r="F88" s="185">
        <f>F87*E69</f>
        <v>2.6600448622222226</v>
      </c>
      <c r="G88" s="170"/>
    </row>
    <row r="89" spans="1:10" ht="12.75" customHeight="1">
      <c r="A89" s="171" t="s">
        <v>88</v>
      </c>
      <c r="B89" s="172"/>
      <c r="C89" s="172"/>
      <c r="D89" s="172"/>
      <c r="E89" s="173"/>
      <c r="F89" s="170">
        <f>(F38*E66)*0.4</f>
        <v>118.958528</v>
      </c>
      <c r="G89" s="170"/>
    </row>
    <row r="90" spans="1:10">
      <c r="A90" s="150" t="s">
        <v>89</v>
      </c>
      <c r="B90" s="150"/>
      <c r="C90" s="150"/>
      <c r="D90" s="150"/>
      <c r="E90" s="150"/>
      <c r="F90" s="179">
        <f>SUM(F84:F89)</f>
        <v>132.29179634666667</v>
      </c>
      <c r="G90" s="179"/>
      <c r="H90" s="28"/>
    </row>
    <row r="91" spans="1:10">
      <c r="A91" s="180" t="s">
        <v>90</v>
      </c>
      <c r="B91" s="181"/>
      <c r="C91" s="181"/>
      <c r="D91" s="181"/>
      <c r="E91" s="181"/>
      <c r="F91" s="181"/>
      <c r="G91" s="182"/>
    </row>
    <row r="92" spans="1:10">
      <c r="A92" s="180" t="s">
        <v>91</v>
      </c>
      <c r="B92" s="181"/>
      <c r="C92" s="181"/>
      <c r="D92" s="181"/>
      <c r="E92" s="182"/>
      <c r="F92" s="180" t="s">
        <v>48</v>
      </c>
      <c r="G92" s="183"/>
    </row>
    <row r="93" spans="1:10">
      <c r="A93" s="171" t="s">
        <v>92</v>
      </c>
      <c r="B93" s="172"/>
      <c r="C93" s="172"/>
      <c r="D93" s="172"/>
      <c r="E93" s="173"/>
      <c r="F93" s="170">
        <f>F38/12</f>
        <v>309.78783333333331</v>
      </c>
      <c r="G93" s="170"/>
    </row>
    <row r="94" spans="1:10" ht="16.5" customHeight="1">
      <c r="A94" s="171" t="s">
        <v>167</v>
      </c>
      <c r="B94" s="172"/>
      <c r="C94" s="172"/>
      <c r="D94" s="172"/>
      <c r="E94" s="173"/>
      <c r="F94" s="170">
        <f>(F38/30)*1/12</f>
        <v>10.32626111111111</v>
      </c>
      <c r="G94" s="170"/>
    </row>
    <row r="95" spans="1:10">
      <c r="A95" s="171" t="s">
        <v>214</v>
      </c>
      <c r="B95" s="172"/>
      <c r="C95" s="172"/>
      <c r="D95" s="172"/>
      <c r="E95" s="173"/>
      <c r="F95" s="177">
        <f>(F38/30*5)/12*0.0157</f>
        <v>0.81061149722222203</v>
      </c>
      <c r="G95" s="178"/>
      <c r="J95" s="29"/>
    </row>
    <row r="96" spans="1:10" ht="12.75" customHeight="1">
      <c r="A96" s="171" t="s">
        <v>213</v>
      </c>
      <c r="B96" s="172"/>
      <c r="C96" s="172"/>
      <c r="D96" s="172"/>
      <c r="E96" s="173"/>
      <c r="F96" s="170">
        <f>(F38/30*3)/12*0.3</f>
        <v>9.2936350000000001</v>
      </c>
      <c r="G96" s="170"/>
    </row>
    <row r="97" spans="1:8">
      <c r="A97" s="171" t="s">
        <v>215</v>
      </c>
      <c r="B97" s="172"/>
      <c r="C97" s="172"/>
      <c r="D97" s="172"/>
      <c r="E97" s="173"/>
      <c r="F97" s="162">
        <f>(F38/30*15)/12*0.012</f>
        <v>1.8587269999999998</v>
      </c>
      <c r="G97" s="162"/>
    </row>
    <row r="98" spans="1:8">
      <c r="A98" s="174" t="s">
        <v>93</v>
      </c>
      <c r="B98" s="175"/>
      <c r="C98" s="175"/>
      <c r="D98" s="175"/>
      <c r="E98" s="176"/>
      <c r="F98" s="170">
        <f>F38*E98</f>
        <v>0</v>
      </c>
      <c r="G98" s="170"/>
    </row>
    <row r="99" spans="1:8">
      <c r="A99" s="150" t="s">
        <v>76</v>
      </c>
      <c r="B99" s="150"/>
      <c r="C99" s="150"/>
      <c r="D99" s="150"/>
      <c r="E99" s="150"/>
      <c r="F99" s="152">
        <f>SUM(F93:G98)</f>
        <v>332.07706794166666</v>
      </c>
      <c r="G99" s="152"/>
    </row>
    <row r="100" spans="1:8">
      <c r="A100" s="147" t="s">
        <v>94</v>
      </c>
      <c r="B100" s="147"/>
      <c r="C100" s="147"/>
      <c r="D100" s="147"/>
      <c r="E100" s="147"/>
      <c r="F100" s="170">
        <f>F99*E69</f>
        <v>122.20436100253336</v>
      </c>
      <c r="G100" s="170"/>
    </row>
    <row r="101" spans="1:8">
      <c r="A101" s="150" t="s">
        <v>95</v>
      </c>
      <c r="B101" s="150"/>
      <c r="C101" s="150"/>
      <c r="D101" s="150"/>
      <c r="E101" s="150"/>
      <c r="F101" s="152">
        <f>F99+F100</f>
        <v>454.2814289442</v>
      </c>
      <c r="G101" s="152"/>
      <c r="H101" s="28"/>
    </row>
    <row r="102" spans="1:8">
      <c r="A102" s="153" t="s">
        <v>96</v>
      </c>
      <c r="B102" s="153"/>
      <c r="C102" s="153"/>
      <c r="D102" s="153"/>
      <c r="E102" s="153"/>
      <c r="F102" s="153"/>
      <c r="G102" s="153"/>
    </row>
    <row r="103" spans="1:8">
      <c r="A103" s="154" t="s">
        <v>97</v>
      </c>
      <c r="B103" s="154"/>
      <c r="C103" s="154"/>
      <c r="D103" s="154"/>
      <c r="E103" s="154"/>
      <c r="F103" s="153" t="s">
        <v>48</v>
      </c>
      <c r="G103" s="155"/>
    </row>
    <row r="104" spans="1:8">
      <c r="A104" s="147" t="s">
        <v>61</v>
      </c>
      <c r="B104" s="147"/>
      <c r="C104" s="147"/>
      <c r="D104" s="147"/>
      <c r="E104" s="147"/>
      <c r="F104" s="148">
        <f>F69</f>
        <v>1368.023072</v>
      </c>
      <c r="G104" s="149"/>
    </row>
    <row r="105" spans="1:8">
      <c r="A105" s="147" t="s">
        <v>73</v>
      </c>
      <c r="B105" s="147"/>
      <c r="C105" s="147"/>
      <c r="D105" s="147"/>
      <c r="E105" s="147"/>
      <c r="F105" s="148">
        <f>F76</f>
        <v>565.05300799999998</v>
      </c>
      <c r="G105" s="149"/>
    </row>
    <row r="106" spans="1:8">
      <c r="A106" s="147" t="s">
        <v>80</v>
      </c>
      <c r="B106" s="147"/>
      <c r="C106" s="147"/>
      <c r="D106" s="147"/>
      <c r="E106" s="147"/>
      <c r="F106" s="148">
        <f>F81</f>
        <v>1.8816265166400001</v>
      </c>
      <c r="G106" s="149"/>
    </row>
    <row r="107" spans="1:8">
      <c r="A107" s="147" t="s">
        <v>84</v>
      </c>
      <c r="B107" s="147"/>
      <c r="C107" s="147"/>
      <c r="D107" s="147"/>
      <c r="E107" s="147"/>
      <c r="F107" s="148">
        <f>F90</f>
        <v>132.29179634666667</v>
      </c>
      <c r="G107" s="149"/>
    </row>
    <row r="108" spans="1:8">
      <c r="A108" s="147" t="s">
        <v>91</v>
      </c>
      <c r="B108" s="147"/>
      <c r="C108" s="147"/>
      <c r="D108" s="147"/>
      <c r="E108" s="147"/>
      <c r="F108" s="148">
        <f>F101</f>
        <v>454.2814289442</v>
      </c>
      <c r="G108" s="149"/>
    </row>
    <row r="109" spans="1:8">
      <c r="A109" s="147" t="s">
        <v>158</v>
      </c>
      <c r="B109" s="147"/>
      <c r="C109" s="147"/>
      <c r="D109" s="147"/>
      <c r="E109" s="147"/>
      <c r="F109" s="148">
        <v>0</v>
      </c>
      <c r="G109" s="149"/>
    </row>
    <row r="110" spans="1:8">
      <c r="A110" s="150" t="s">
        <v>98</v>
      </c>
      <c r="B110" s="151"/>
      <c r="C110" s="151"/>
      <c r="D110" s="151"/>
      <c r="E110" s="151"/>
      <c r="F110" s="152">
        <f>SUM(F104:G109)</f>
        <v>2521.5309318075065</v>
      </c>
      <c r="G110" s="152"/>
    </row>
    <row r="111" spans="1:8">
      <c r="A111" s="169"/>
      <c r="B111" s="169"/>
      <c r="C111" s="169"/>
      <c r="D111" s="169"/>
      <c r="E111" s="169"/>
      <c r="F111" s="169"/>
      <c r="G111" s="169"/>
    </row>
    <row r="112" spans="1:8">
      <c r="A112" s="153" t="s">
        <v>99</v>
      </c>
      <c r="B112" s="153"/>
      <c r="C112" s="153"/>
      <c r="D112" s="153"/>
      <c r="E112" s="153"/>
      <c r="F112" s="153"/>
      <c r="G112" s="153"/>
    </row>
    <row r="113" spans="1:10">
      <c r="A113" s="153" t="s">
        <v>100</v>
      </c>
      <c r="B113" s="153"/>
      <c r="C113" s="153"/>
      <c r="D113" s="153"/>
      <c r="E113" s="153"/>
      <c r="F113" s="153"/>
      <c r="G113" s="153"/>
    </row>
    <row r="114" spans="1:10">
      <c r="A114" s="154" t="s">
        <v>101</v>
      </c>
      <c r="B114" s="154"/>
      <c r="C114" s="154"/>
      <c r="D114" s="154"/>
      <c r="E114" s="25" t="s">
        <v>62</v>
      </c>
      <c r="F114" s="153" t="s">
        <v>48</v>
      </c>
      <c r="G114" s="155"/>
    </row>
    <row r="115" spans="1:10" ht="24" customHeight="1">
      <c r="A115" s="168" t="s">
        <v>217</v>
      </c>
      <c r="B115" s="168"/>
      <c r="C115" s="168"/>
      <c r="D115" s="168"/>
      <c r="E115" s="103">
        <v>2.75E-2</v>
      </c>
      <c r="F115" s="148">
        <f>(F38+F49+F56+F110)*E115</f>
        <v>201.2344196312838</v>
      </c>
      <c r="G115" s="155"/>
    </row>
    <row r="116" spans="1:10">
      <c r="A116" s="153" t="s">
        <v>102</v>
      </c>
      <c r="B116" s="153"/>
      <c r="C116" s="153"/>
      <c r="D116" s="153"/>
      <c r="E116" s="153"/>
      <c r="F116" s="153"/>
      <c r="G116" s="153"/>
    </row>
    <row r="117" spans="1:10">
      <c r="A117" s="154" t="s">
        <v>103</v>
      </c>
      <c r="B117" s="154"/>
      <c r="C117" s="154"/>
      <c r="D117" s="154"/>
      <c r="E117" s="25" t="s">
        <v>62</v>
      </c>
      <c r="F117" s="153" t="s">
        <v>48</v>
      </c>
      <c r="G117" s="155"/>
    </row>
    <row r="118" spans="1:10" ht="26.25" customHeight="1">
      <c r="A118" s="168" t="s">
        <v>218</v>
      </c>
      <c r="B118" s="168"/>
      <c r="C118" s="168"/>
      <c r="D118" s="168"/>
      <c r="E118" s="104">
        <v>1.6299999999999999E-2</v>
      </c>
      <c r="F118" s="148">
        <f>SUM(F38,F49,F56,F110,F115)*E118</f>
        <v>122.55724976689632</v>
      </c>
      <c r="G118" s="155"/>
    </row>
    <row r="119" spans="1:10" ht="14.25" customHeight="1">
      <c r="A119" s="153" t="s">
        <v>104</v>
      </c>
      <c r="B119" s="153"/>
      <c r="C119" s="153"/>
      <c r="D119" s="153"/>
      <c r="E119" s="153"/>
      <c r="F119" s="153"/>
      <c r="G119" s="153"/>
    </row>
    <row r="120" spans="1:10">
      <c r="A120" s="154" t="s">
        <v>105</v>
      </c>
      <c r="B120" s="154"/>
      <c r="C120" s="154"/>
      <c r="D120" s="154"/>
      <c r="E120" s="154"/>
      <c r="F120" s="153" t="s">
        <v>48</v>
      </c>
      <c r="G120" s="155"/>
    </row>
    <row r="121" spans="1:10">
      <c r="A121" s="154" t="s">
        <v>106</v>
      </c>
      <c r="B121" s="154"/>
      <c r="C121" s="154"/>
      <c r="D121" s="154"/>
      <c r="E121" s="154"/>
      <c r="F121" s="167" t="s">
        <v>47</v>
      </c>
      <c r="G121" s="167"/>
    </row>
    <row r="122" spans="1:10">
      <c r="A122" s="147" t="s">
        <v>107</v>
      </c>
      <c r="B122" s="147"/>
      <c r="C122" s="147"/>
      <c r="D122" s="147"/>
      <c r="E122" s="147"/>
      <c r="F122" s="165">
        <f>'PIS-COFINS'!F18</f>
        <v>1.6499999999999997</v>
      </c>
      <c r="G122" s="165"/>
    </row>
    <row r="123" spans="1:10">
      <c r="A123" s="147" t="s">
        <v>108</v>
      </c>
      <c r="B123" s="147"/>
      <c r="C123" s="147"/>
      <c r="D123" s="147"/>
      <c r="E123" s="147"/>
      <c r="F123" s="165">
        <f>'PIS-COFINS'!F34</f>
        <v>7.5999999999999988</v>
      </c>
      <c r="G123" s="165"/>
    </row>
    <row r="124" spans="1:10">
      <c r="A124" s="154" t="s">
        <v>109</v>
      </c>
      <c r="B124" s="154"/>
      <c r="C124" s="154"/>
      <c r="D124" s="154"/>
      <c r="E124" s="154"/>
      <c r="F124" s="167" t="s">
        <v>47</v>
      </c>
      <c r="G124" s="167"/>
    </row>
    <row r="125" spans="1:10">
      <c r="A125" s="147" t="s">
        <v>110</v>
      </c>
      <c r="B125" s="147"/>
      <c r="C125" s="147"/>
      <c r="D125" s="147"/>
      <c r="E125" s="147"/>
      <c r="F125" s="165">
        <v>5</v>
      </c>
      <c r="G125" s="165"/>
    </row>
    <row r="126" spans="1:10">
      <c r="A126" s="154" t="s">
        <v>111</v>
      </c>
      <c r="B126" s="154"/>
      <c r="C126" s="154"/>
      <c r="D126" s="154"/>
      <c r="E126" s="154"/>
      <c r="F126" s="167" t="s">
        <v>47</v>
      </c>
      <c r="G126" s="167"/>
    </row>
    <row r="127" spans="1:10">
      <c r="A127" s="147" t="s">
        <v>112</v>
      </c>
      <c r="B127" s="147"/>
      <c r="C127" s="147"/>
      <c r="D127" s="147"/>
      <c r="E127" s="147"/>
      <c r="F127" s="165">
        <v>0</v>
      </c>
      <c r="G127" s="165"/>
    </row>
    <row r="128" spans="1:10">
      <c r="A128" s="150" t="s">
        <v>113</v>
      </c>
      <c r="B128" s="150"/>
      <c r="C128" s="150"/>
      <c r="D128" s="150"/>
      <c r="E128" s="150"/>
      <c r="F128" s="165">
        <f>SUM(F122,F123,F125,F127)</f>
        <v>14.249999999999998</v>
      </c>
      <c r="G128" s="165"/>
      <c r="I128" s="29"/>
      <c r="J128" s="29"/>
    </row>
    <row r="129" spans="1:10">
      <c r="A129" s="156" t="s">
        <v>114</v>
      </c>
      <c r="B129" s="156"/>
      <c r="C129" s="156"/>
      <c r="D129" s="163">
        <f>F128/100</f>
        <v>0.14249999999999999</v>
      </c>
      <c r="E129" s="163"/>
      <c r="F129" s="166"/>
      <c r="G129" s="166"/>
    </row>
    <row r="130" spans="1:10">
      <c r="A130" s="160" t="s">
        <v>115</v>
      </c>
      <c r="B130" s="160"/>
      <c r="C130" s="160"/>
      <c r="D130" s="161" t="s">
        <v>116</v>
      </c>
      <c r="E130" s="161"/>
      <c r="F130" s="162">
        <f>SUM(F38,F49,F56,F110,F115,F118)</f>
        <v>7641.4069287175917</v>
      </c>
      <c r="G130" s="162"/>
    </row>
    <row r="131" spans="1:10">
      <c r="A131" s="156" t="s">
        <v>117</v>
      </c>
      <c r="B131" s="156"/>
      <c r="C131" s="156"/>
      <c r="D131" s="163">
        <f>1-D129</f>
        <v>0.85750000000000004</v>
      </c>
      <c r="E131" s="163"/>
      <c r="F131" s="164"/>
      <c r="G131" s="164"/>
      <c r="J131" s="29"/>
    </row>
    <row r="132" spans="1:10">
      <c r="A132" s="156" t="s">
        <v>118</v>
      </c>
      <c r="B132" s="156"/>
      <c r="C132" s="156"/>
      <c r="D132" s="157" t="s">
        <v>119</v>
      </c>
      <c r="E132" s="157"/>
      <c r="F132" s="158">
        <f>F130/D131</f>
        <v>8911.2617244520006</v>
      </c>
      <c r="G132" s="158"/>
      <c r="I132" s="29"/>
    </row>
    <row r="133" spans="1:10">
      <c r="A133" s="150" t="s">
        <v>120</v>
      </c>
      <c r="B133" s="150"/>
      <c r="C133" s="150"/>
      <c r="D133" s="150"/>
      <c r="E133" s="150"/>
      <c r="F133" s="159">
        <f>F128/100*F132</f>
        <v>1269.8547957344099</v>
      </c>
      <c r="G133" s="159"/>
      <c r="I133" s="29"/>
    </row>
    <row r="134" spans="1:10">
      <c r="A134" s="153" t="s">
        <v>121</v>
      </c>
      <c r="B134" s="153"/>
      <c r="C134" s="153"/>
      <c r="D134" s="153"/>
      <c r="E134" s="153"/>
      <c r="F134" s="153"/>
      <c r="G134" s="153"/>
    </row>
    <row r="135" spans="1:10">
      <c r="A135" s="154" t="s">
        <v>122</v>
      </c>
      <c r="B135" s="154"/>
      <c r="C135" s="154"/>
      <c r="D135" s="154"/>
      <c r="E135" s="154"/>
      <c r="F135" s="153" t="s">
        <v>48</v>
      </c>
      <c r="G135" s="155"/>
    </row>
    <row r="136" spans="1:10">
      <c r="A136" s="147" t="s">
        <v>101</v>
      </c>
      <c r="B136" s="147"/>
      <c r="C136" s="147"/>
      <c r="D136" s="147"/>
      <c r="E136" s="147"/>
      <c r="F136" s="148">
        <f>F115</f>
        <v>201.2344196312838</v>
      </c>
      <c r="G136" s="149"/>
    </row>
    <row r="137" spans="1:10">
      <c r="A137" s="147" t="s">
        <v>103</v>
      </c>
      <c r="B137" s="147"/>
      <c r="C137" s="147"/>
      <c r="D137" s="147"/>
      <c r="E137" s="147"/>
      <c r="F137" s="148">
        <f>F118</f>
        <v>122.55724976689632</v>
      </c>
      <c r="G137" s="149"/>
    </row>
    <row r="138" spans="1:10">
      <c r="A138" s="147" t="s">
        <v>123</v>
      </c>
      <c r="B138" s="147"/>
      <c r="C138" s="147"/>
      <c r="D138" s="147"/>
      <c r="E138" s="147"/>
      <c r="F138" s="148">
        <f>F133</f>
        <v>1269.8547957344099</v>
      </c>
      <c r="G138" s="149"/>
    </row>
    <row r="139" spans="1:10">
      <c r="A139" s="150" t="s">
        <v>124</v>
      </c>
      <c r="B139" s="151"/>
      <c r="C139" s="151"/>
      <c r="D139" s="151"/>
      <c r="E139" s="151"/>
      <c r="F139" s="152">
        <f>SUM(F136:G138)</f>
        <v>1593.64646513259</v>
      </c>
      <c r="G139" s="152"/>
    </row>
    <row r="140" spans="1:10">
      <c r="A140" s="149"/>
      <c r="B140" s="149"/>
      <c r="C140" s="149"/>
      <c r="D140" s="149"/>
      <c r="E140" s="149"/>
      <c r="F140" s="149"/>
      <c r="G140" s="149"/>
    </row>
    <row r="141" spans="1:10">
      <c r="A141" s="153" t="s">
        <v>125</v>
      </c>
      <c r="B141" s="153"/>
      <c r="C141" s="153"/>
      <c r="D141" s="153"/>
      <c r="E141" s="153"/>
      <c r="F141" s="153"/>
      <c r="G141" s="153"/>
    </row>
    <row r="142" spans="1:10">
      <c r="A142" s="154" t="s">
        <v>126</v>
      </c>
      <c r="B142" s="154"/>
      <c r="C142" s="154"/>
      <c r="D142" s="154"/>
      <c r="E142" s="154"/>
      <c r="F142" s="153" t="s">
        <v>48</v>
      </c>
      <c r="G142" s="155"/>
    </row>
    <row r="143" spans="1:10">
      <c r="A143" s="147" t="s">
        <v>127</v>
      </c>
      <c r="B143" s="147"/>
      <c r="C143" s="147"/>
      <c r="D143" s="147"/>
      <c r="E143" s="147"/>
      <c r="F143" s="148">
        <f>F38</f>
        <v>3717.4539999999997</v>
      </c>
      <c r="G143" s="149"/>
    </row>
    <row r="144" spans="1:10">
      <c r="A144" s="147" t="s">
        <v>128</v>
      </c>
      <c r="B144" s="147"/>
      <c r="C144" s="147"/>
      <c r="D144" s="147"/>
      <c r="E144" s="147"/>
      <c r="F144" s="148">
        <f>F49</f>
        <v>961.9248540000001</v>
      </c>
      <c r="G144" s="149"/>
    </row>
    <row r="145" spans="1:10">
      <c r="A145" s="147" t="s">
        <v>129</v>
      </c>
      <c r="B145" s="147"/>
      <c r="C145" s="147"/>
      <c r="D145" s="147"/>
      <c r="E145" s="147"/>
      <c r="F145" s="148">
        <f>F56</f>
        <v>116.70547351190478</v>
      </c>
      <c r="G145" s="149"/>
    </row>
    <row r="146" spans="1:10">
      <c r="A146" s="147" t="s">
        <v>130</v>
      </c>
      <c r="B146" s="147"/>
      <c r="C146" s="147"/>
      <c r="D146" s="147"/>
      <c r="E146" s="147"/>
      <c r="F146" s="148">
        <f>F110</f>
        <v>2521.5309318075065</v>
      </c>
      <c r="G146" s="149"/>
    </row>
    <row r="147" spans="1:10">
      <c r="A147" s="147" t="s">
        <v>131</v>
      </c>
      <c r="B147" s="147"/>
      <c r="C147" s="147"/>
      <c r="D147" s="147"/>
      <c r="E147" s="147"/>
      <c r="F147" s="148">
        <f>F139</f>
        <v>1593.64646513259</v>
      </c>
      <c r="G147" s="149"/>
    </row>
    <row r="148" spans="1:10">
      <c r="A148" s="150" t="s">
        <v>132</v>
      </c>
      <c r="B148" s="151"/>
      <c r="C148" s="151"/>
      <c r="D148" s="151"/>
      <c r="E148" s="151"/>
      <c r="F148" s="152">
        <f>ROUND(SUM(F143:G147),2)</f>
        <v>8911.26</v>
      </c>
      <c r="G148" s="152"/>
    </row>
    <row r="150" spans="1:10">
      <c r="J150" s="29"/>
    </row>
    <row r="151" spans="1:10">
      <c r="A151" s="28"/>
      <c r="J151" s="29"/>
    </row>
  </sheetData>
  <mergeCells count="261">
    <mergeCell ref="A1:G1"/>
    <mergeCell ref="A15:D15"/>
    <mergeCell ref="E15:G15"/>
    <mergeCell ref="A16:D16"/>
    <mergeCell ref="E16:G16"/>
    <mergeCell ref="A25:D25"/>
    <mergeCell ref="E25:G25"/>
    <mergeCell ref="B2:G2"/>
    <mergeCell ref="B3:G3"/>
    <mergeCell ref="B4:G4"/>
    <mergeCell ref="B5:G5"/>
    <mergeCell ref="A6:G6"/>
    <mergeCell ref="A7:G7"/>
    <mergeCell ref="A17:D17"/>
    <mergeCell ref="E17:G17"/>
    <mergeCell ref="A14:D14"/>
    <mergeCell ref="E14:G14"/>
    <mergeCell ref="A8:G8"/>
    <mergeCell ref="A9:G9"/>
    <mergeCell ref="A10:G10"/>
    <mergeCell ref="A11:G11"/>
    <mergeCell ref="A12:G12"/>
    <mergeCell ref="A13:G13"/>
    <mergeCell ref="A20:D20"/>
    <mergeCell ref="E20:G20"/>
    <mergeCell ref="A21:G21"/>
    <mergeCell ref="A22:G22"/>
    <mergeCell ref="A23:G23"/>
    <mergeCell ref="A24:G24"/>
    <mergeCell ref="A18:D18"/>
    <mergeCell ref="E18:G18"/>
    <mergeCell ref="A19:D19"/>
    <mergeCell ref="E19:G19"/>
    <mergeCell ref="A29:D29"/>
    <mergeCell ref="E29:G29"/>
    <mergeCell ref="A30:D30"/>
    <mergeCell ref="E30:G30"/>
    <mergeCell ref="A31:D31"/>
    <mergeCell ref="E31:G31"/>
    <mergeCell ref="A26:D26"/>
    <mergeCell ref="E26:G26"/>
    <mergeCell ref="A27:G27"/>
    <mergeCell ref="A28:D28"/>
    <mergeCell ref="E28:G28"/>
    <mergeCell ref="A36:D36"/>
    <mergeCell ref="F36:G36"/>
    <mergeCell ref="A37:D37"/>
    <mergeCell ref="F37:G37"/>
    <mergeCell ref="A32:G32"/>
    <mergeCell ref="A33:G33"/>
    <mergeCell ref="A34:D34"/>
    <mergeCell ref="F34:G34"/>
    <mergeCell ref="A35:D35"/>
    <mergeCell ref="F35:G35"/>
    <mergeCell ref="A42:E42"/>
    <mergeCell ref="F42:G42"/>
    <mergeCell ref="A43:E43"/>
    <mergeCell ref="F43:G43"/>
    <mergeCell ref="A44:E44"/>
    <mergeCell ref="F44:G44"/>
    <mergeCell ref="A38:E38"/>
    <mergeCell ref="F38:G38"/>
    <mergeCell ref="A39:G39"/>
    <mergeCell ref="A40:G40"/>
    <mergeCell ref="A41:E41"/>
    <mergeCell ref="F41:G41"/>
    <mergeCell ref="A49:E49"/>
    <mergeCell ref="F49:G49"/>
    <mergeCell ref="A50:G50"/>
    <mergeCell ref="A51:E51"/>
    <mergeCell ref="F51:G51"/>
    <mergeCell ref="A52:E52"/>
    <mergeCell ref="F52:G52"/>
    <mergeCell ref="A45:E45"/>
    <mergeCell ref="F45:G45"/>
    <mergeCell ref="A46:E46"/>
    <mergeCell ref="F46:G46"/>
    <mergeCell ref="A47:E47"/>
    <mergeCell ref="F47:G47"/>
    <mergeCell ref="A48:E48"/>
    <mergeCell ref="F48:G48"/>
    <mergeCell ref="A57:G57"/>
    <mergeCell ref="A58:G58"/>
    <mergeCell ref="A59:G59"/>
    <mergeCell ref="A60:D60"/>
    <mergeCell ref="F60:G60"/>
    <mergeCell ref="A61:D61"/>
    <mergeCell ref="F61:G61"/>
    <mergeCell ref="A53:E53"/>
    <mergeCell ref="F53:G53"/>
    <mergeCell ref="A54:E54"/>
    <mergeCell ref="F54:G54"/>
    <mergeCell ref="F55:G55"/>
    <mergeCell ref="A56:E56"/>
    <mergeCell ref="F56:G56"/>
    <mergeCell ref="A55:E55"/>
    <mergeCell ref="A65:D65"/>
    <mergeCell ref="F65:G65"/>
    <mergeCell ref="A66:D66"/>
    <mergeCell ref="F66:G66"/>
    <mergeCell ref="A67:D67"/>
    <mergeCell ref="F67:G67"/>
    <mergeCell ref="A62:D62"/>
    <mergeCell ref="F62:G62"/>
    <mergeCell ref="A63:D63"/>
    <mergeCell ref="F63:G63"/>
    <mergeCell ref="A64:D64"/>
    <mergeCell ref="F64:G64"/>
    <mergeCell ref="A72:E72"/>
    <mergeCell ref="F72:G72"/>
    <mergeCell ref="A73:E73"/>
    <mergeCell ref="F73:G73"/>
    <mergeCell ref="A74:E74"/>
    <mergeCell ref="F74:G74"/>
    <mergeCell ref="A68:D68"/>
    <mergeCell ref="F68:G68"/>
    <mergeCell ref="A69:D69"/>
    <mergeCell ref="F69:G69"/>
    <mergeCell ref="A70:G70"/>
    <mergeCell ref="A71:E71"/>
    <mergeCell ref="F71:G71"/>
    <mergeCell ref="A79:E79"/>
    <mergeCell ref="F79:G79"/>
    <mergeCell ref="A80:E80"/>
    <mergeCell ref="F80:G80"/>
    <mergeCell ref="A81:E81"/>
    <mergeCell ref="F81:G81"/>
    <mergeCell ref="A75:E75"/>
    <mergeCell ref="F75:G75"/>
    <mergeCell ref="A76:E76"/>
    <mergeCell ref="F76:G76"/>
    <mergeCell ref="A77:G77"/>
    <mergeCell ref="A78:E78"/>
    <mergeCell ref="F78:G78"/>
    <mergeCell ref="A86:E86"/>
    <mergeCell ref="F86:G86"/>
    <mergeCell ref="A87:E87"/>
    <mergeCell ref="F87:G87"/>
    <mergeCell ref="A88:E88"/>
    <mergeCell ref="F88:G88"/>
    <mergeCell ref="A82:G82"/>
    <mergeCell ref="A83:E83"/>
    <mergeCell ref="F83:G83"/>
    <mergeCell ref="A84:E84"/>
    <mergeCell ref="F84:G84"/>
    <mergeCell ref="A85:E85"/>
    <mergeCell ref="F85:G85"/>
    <mergeCell ref="A93:E93"/>
    <mergeCell ref="F93:G93"/>
    <mergeCell ref="A94:E94"/>
    <mergeCell ref="F94:G94"/>
    <mergeCell ref="A95:E95"/>
    <mergeCell ref="F95:G95"/>
    <mergeCell ref="A89:E89"/>
    <mergeCell ref="F89:G89"/>
    <mergeCell ref="A90:E90"/>
    <mergeCell ref="F90:G90"/>
    <mergeCell ref="A91:G91"/>
    <mergeCell ref="A92:E92"/>
    <mergeCell ref="F92:G92"/>
    <mergeCell ref="A99:E99"/>
    <mergeCell ref="F99:G99"/>
    <mergeCell ref="A100:E100"/>
    <mergeCell ref="F100:G100"/>
    <mergeCell ref="A101:E101"/>
    <mergeCell ref="F101:G101"/>
    <mergeCell ref="A96:E96"/>
    <mergeCell ref="F96:G96"/>
    <mergeCell ref="A97:E97"/>
    <mergeCell ref="F97:G97"/>
    <mergeCell ref="A98:E98"/>
    <mergeCell ref="F98:G98"/>
    <mergeCell ref="A106:E106"/>
    <mergeCell ref="F106:G106"/>
    <mergeCell ref="A107:E107"/>
    <mergeCell ref="F107:G107"/>
    <mergeCell ref="A108:E108"/>
    <mergeCell ref="F108:G108"/>
    <mergeCell ref="A102:G102"/>
    <mergeCell ref="A103:E103"/>
    <mergeCell ref="F103:G103"/>
    <mergeCell ref="A104:E104"/>
    <mergeCell ref="F104:G104"/>
    <mergeCell ref="A105:E105"/>
    <mergeCell ref="F105:G105"/>
    <mergeCell ref="A113:G113"/>
    <mergeCell ref="A114:D114"/>
    <mergeCell ref="F114:G114"/>
    <mergeCell ref="A115:D115"/>
    <mergeCell ref="F115:G115"/>
    <mergeCell ref="A116:G116"/>
    <mergeCell ref="A109:E109"/>
    <mergeCell ref="F109:G109"/>
    <mergeCell ref="A110:E110"/>
    <mergeCell ref="F110:G110"/>
    <mergeCell ref="A111:G111"/>
    <mergeCell ref="A112:G112"/>
    <mergeCell ref="A121:E121"/>
    <mergeCell ref="F121:G121"/>
    <mergeCell ref="A122:E122"/>
    <mergeCell ref="F122:G122"/>
    <mergeCell ref="A123:E123"/>
    <mergeCell ref="F123:G123"/>
    <mergeCell ref="A117:D117"/>
    <mergeCell ref="F117:G117"/>
    <mergeCell ref="A118:D118"/>
    <mergeCell ref="F118:G118"/>
    <mergeCell ref="A119:G119"/>
    <mergeCell ref="A120:E120"/>
    <mergeCell ref="F120:G120"/>
    <mergeCell ref="A127:E127"/>
    <mergeCell ref="F127:G127"/>
    <mergeCell ref="A128:E128"/>
    <mergeCell ref="F128:G128"/>
    <mergeCell ref="A129:C129"/>
    <mergeCell ref="D129:E129"/>
    <mergeCell ref="F129:G129"/>
    <mergeCell ref="A124:E124"/>
    <mergeCell ref="F124:G124"/>
    <mergeCell ref="A125:E125"/>
    <mergeCell ref="F125:G125"/>
    <mergeCell ref="A126:E126"/>
    <mergeCell ref="F126:G126"/>
    <mergeCell ref="A137:E137"/>
    <mergeCell ref="F137:G137"/>
    <mergeCell ref="A132:C132"/>
    <mergeCell ref="D132:E132"/>
    <mergeCell ref="F132:G132"/>
    <mergeCell ref="A133:E133"/>
    <mergeCell ref="F133:G133"/>
    <mergeCell ref="A134:G134"/>
    <mergeCell ref="A130:C130"/>
    <mergeCell ref="D130:E130"/>
    <mergeCell ref="F130:G130"/>
    <mergeCell ref="A131:C131"/>
    <mergeCell ref="D131:E131"/>
    <mergeCell ref="F131:G131"/>
    <mergeCell ref="A138:E138"/>
    <mergeCell ref="F138:G138"/>
    <mergeCell ref="A139:E139"/>
    <mergeCell ref="F139:G139"/>
    <mergeCell ref="A140:G140"/>
    <mergeCell ref="A141:G141"/>
    <mergeCell ref="A135:E135"/>
    <mergeCell ref="F135:G135"/>
    <mergeCell ref="A148:E148"/>
    <mergeCell ref="F148:G148"/>
    <mergeCell ref="A145:E145"/>
    <mergeCell ref="F145:G145"/>
    <mergeCell ref="A146:E146"/>
    <mergeCell ref="F146:G146"/>
    <mergeCell ref="A147:E147"/>
    <mergeCell ref="F147:G147"/>
    <mergeCell ref="A142:E142"/>
    <mergeCell ref="F142:G142"/>
    <mergeCell ref="A143:E143"/>
    <mergeCell ref="F143:G143"/>
    <mergeCell ref="A144:E144"/>
    <mergeCell ref="F144:G144"/>
    <mergeCell ref="A136:E136"/>
    <mergeCell ref="F136:G13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9"/>
  <sheetViews>
    <sheetView zoomScale="110" zoomScaleNormal="110" workbookViewId="0">
      <selection activeCell="A7" sqref="A7:G7"/>
    </sheetView>
  </sheetViews>
  <sheetFormatPr defaultRowHeight="15"/>
  <cols>
    <col min="1" max="1" width="19.5703125" customWidth="1"/>
    <col min="2" max="2" width="15.7109375" customWidth="1"/>
    <col min="3" max="3" width="23" customWidth="1"/>
    <col min="4" max="4" width="25.5703125" customWidth="1"/>
    <col min="5" max="5" width="13" customWidth="1"/>
    <col min="6" max="6" width="8.7109375" customWidth="1"/>
    <col min="7" max="7" width="10.28515625" customWidth="1"/>
  </cols>
  <sheetData>
    <row r="1" spans="1:7" ht="18">
      <c r="A1" s="223" t="s">
        <v>27</v>
      </c>
      <c r="B1" s="223"/>
      <c r="C1" s="223"/>
      <c r="D1" s="223"/>
      <c r="E1" s="223"/>
      <c r="F1" s="223"/>
      <c r="G1" s="223"/>
    </row>
    <row r="2" spans="1:7">
      <c r="A2" s="19"/>
      <c r="B2" s="224" t="s">
        <v>0</v>
      </c>
      <c r="C2" s="224"/>
      <c r="D2" s="224"/>
      <c r="E2" s="224"/>
      <c r="F2" s="224"/>
      <c r="G2" s="224"/>
    </row>
    <row r="3" spans="1:7">
      <c r="A3" s="19"/>
      <c r="B3" s="224" t="s">
        <v>1</v>
      </c>
      <c r="C3" s="224"/>
      <c r="D3" s="224"/>
      <c r="E3" s="224"/>
      <c r="F3" s="224"/>
      <c r="G3" s="224"/>
    </row>
    <row r="4" spans="1:7">
      <c r="A4" s="19"/>
      <c r="B4" s="225" t="s">
        <v>2</v>
      </c>
      <c r="C4" s="224"/>
      <c r="D4" s="224"/>
      <c r="E4" s="224"/>
      <c r="F4" s="224"/>
      <c r="G4" s="224"/>
    </row>
    <row r="5" spans="1:7">
      <c r="A5" s="19"/>
      <c r="B5" s="224"/>
      <c r="C5" s="224"/>
      <c r="D5" s="224"/>
      <c r="E5" s="224"/>
      <c r="F5" s="224"/>
      <c r="G5" s="224"/>
    </row>
    <row r="6" spans="1:7">
      <c r="A6" s="215" t="s">
        <v>27</v>
      </c>
      <c r="B6" s="215"/>
      <c r="C6" s="215"/>
      <c r="D6" s="215"/>
      <c r="E6" s="215"/>
      <c r="F6" s="215"/>
      <c r="G6" s="215"/>
    </row>
    <row r="7" spans="1:7">
      <c r="A7" s="218"/>
      <c r="B7" s="219"/>
      <c r="C7" s="219"/>
      <c r="D7" s="219"/>
      <c r="E7" s="219"/>
      <c r="F7" s="219"/>
      <c r="G7" s="220"/>
    </row>
    <row r="8" spans="1:7">
      <c r="A8" s="226" t="str">
        <f>'Vigilante 12X36 SEDE DIURNO'!A8:G8</f>
        <v>Nº do Processo: 0004539-81.2025.6.07.8100</v>
      </c>
      <c r="B8" s="227"/>
      <c r="C8" s="227"/>
      <c r="D8" s="227"/>
      <c r="E8" s="227"/>
      <c r="F8" s="227"/>
      <c r="G8" s="228"/>
    </row>
    <row r="9" spans="1:7">
      <c r="A9" s="226" t="str">
        <f>'Vigilante 12X36 SEDE DIURNO'!A9:G9</f>
        <v>Licitação nº XXX/2026</v>
      </c>
      <c r="B9" s="227"/>
      <c r="C9" s="227"/>
      <c r="D9" s="227"/>
      <c r="E9" s="227"/>
      <c r="F9" s="227"/>
      <c r="G9" s="228"/>
    </row>
    <row r="10" spans="1:7">
      <c r="A10" s="226" t="str">
        <f>'Vigilante 12X36 SEDE DIURNO'!A10:G10</f>
        <v xml:space="preserve">Proposta da Licitação: id. </v>
      </c>
      <c r="B10" s="227"/>
      <c r="C10" s="227"/>
      <c r="D10" s="227"/>
      <c r="E10" s="227"/>
      <c r="F10" s="227"/>
      <c r="G10" s="228"/>
    </row>
    <row r="11" spans="1:7">
      <c r="A11" s="229"/>
      <c r="B11" s="215"/>
      <c r="C11" s="215"/>
      <c r="D11" s="215"/>
      <c r="E11" s="215"/>
      <c r="F11" s="215"/>
      <c r="G11" s="215"/>
    </row>
    <row r="12" spans="1:7">
      <c r="A12" s="215" t="s">
        <v>28</v>
      </c>
      <c r="B12" s="215"/>
      <c r="C12" s="215"/>
      <c r="D12" s="215"/>
      <c r="E12" s="215"/>
      <c r="F12" s="215"/>
      <c r="G12" s="215"/>
    </row>
    <row r="13" spans="1:7">
      <c r="A13" s="230"/>
      <c r="B13" s="230"/>
      <c r="C13" s="230"/>
      <c r="D13" s="230"/>
      <c r="E13" s="230"/>
      <c r="F13" s="230"/>
      <c r="G13" s="230"/>
    </row>
    <row r="14" spans="1:7">
      <c r="A14" s="222" t="s">
        <v>29</v>
      </c>
      <c r="B14" s="222"/>
      <c r="C14" s="222"/>
      <c r="D14" s="222"/>
      <c r="E14" s="215"/>
      <c r="F14" s="215"/>
      <c r="G14" s="215"/>
    </row>
    <row r="15" spans="1:7">
      <c r="A15" s="222" t="s">
        <v>30</v>
      </c>
      <c r="B15" s="222"/>
      <c r="C15" s="222"/>
      <c r="D15" s="222"/>
      <c r="E15" s="215" t="s">
        <v>31</v>
      </c>
      <c r="F15" s="215"/>
      <c r="G15" s="215"/>
    </row>
    <row r="16" spans="1:7">
      <c r="A16" s="222" t="s">
        <v>32</v>
      </c>
      <c r="B16" s="222"/>
      <c r="C16" s="222"/>
      <c r="D16" s="222"/>
      <c r="E16" s="215" t="str">
        <f>'Vigilante 12X36 SEDE DIURNO'!E16:G16</f>
        <v>CCT/2025-2025</v>
      </c>
      <c r="F16" s="215"/>
      <c r="G16" s="215"/>
    </row>
    <row r="17" spans="1:7">
      <c r="A17" s="222" t="s">
        <v>33</v>
      </c>
      <c r="B17" s="222"/>
      <c r="C17" s="222"/>
      <c r="D17" s="222"/>
      <c r="E17" s="221" t="s">
        <v>133</v>
      </c>
      <c r="F17" s="221"/>
      <c r="G17" s="221"/>
    </row>
    <row r="18" spans="1:7">
      <c r="A18" s="222" t="s">
        <v>34</v>
      </c>
      <c r="B18" s="222"/>
      <c r="C18" s="222"/>
      <c r="D18" s="222"/>
      <c r="E18" s="215" t="s">
        <v>35</v>
      </c>
      <c r="F18" s="215"/>
      <c r="G18" s="215"/>
    </row>
    <row r="19" spans="1:7">
      <c r="A19" s="222" t="s">
        <v>36</v>
      </c>
      <c r="B19" s="222"/>
      <c r="C19" s="222"/>
      <c r="D19" s="222"/>
      <c r="E19" s="215">
        <v>2</v>
      </c>
      <c r="F19" s="215"/>
      <c r="G19" s="215"/>
    </row>
    <row r="20" spans="1:7">
      <c r="A20" s="222" t="s">
        <v>37</v>
      </c>
      <c r="B20" s="222"/>
      <c r="C20" s="222"/>
      <c r="D20" s="222"/>
      <c r="E20" s="215">
        <v>12</v>
      </c>
      <c r="F20" s="215"/>
      <c r="G20" s="215"/>
    </row>
    <row r="21" spans="1:7">
      <c r="A21" s="217"/>
      <c r="B21" s="217"/>
      <c r="C21" s="217"/>
      <c r="D21" s="217"/>
      <c r="E21" s="217"/>
      <c r="F21" s="217"/>
      <c r="G21" s="217"/>
    </row>
    <row r="22" spans="1:7">
      <c r="A22" s="217" t="s">
        <v>38</v>
      </c>
      <c r="B22" s="217"/>
      <c r="C22" s="217"/>
      <c r="D22" s="217"/>
      <c r="E22" s="217"/>
      <c r="F22" s="217"/>
      <c r="G22" s="217"/>
    </row>
    <row r="23" spans="1:7">
      <c r="A23" s="218"/>
      <c r="B23" s="219"/>
      <c r="C23" s="219"/>
      <c r="D23" s="219"/>
      <c r="E23" s="219"/>
      <c r="F23" s="219"/>
      <c r="G23" s="220"/>
    </row>
    <row r="24" spans="1:7">
      <c r="A24" s="221" t="s">
        <v>39</v>
      </c>
      <c r="B24" s="221"/>
      <c r="C24" s="221"/>
      <c r="D24" s="221"/>
      <c r="E24" s="221"/>
      <c r="F24" s="221"/>
      <c r="G24" s="221"/>
    </row>
    <row r="25" spans="1:7">
      <c r="A25" s="215"/>
      <c r="B25" s="215"/>
      <c r="C25" s="215"/>
      <c r="D25" s="215"/>
      <c r="E25" s="215" t="s">
        <v>40</v>
      </c>
      <c r="F25" s="215"/>
      <c r="G25" s="215"/>
    </row>
    <row r="26" spans="1:7">
      <c r="A26" s="147" t="s">
        <v>160</v>
      </c>
      <c r="B26" s="150"/>
      <c r="C26" s="150"/>
      <c r="D26" s="150"/>
      <c r="E26" s="215">
        <v>4</v>
      </c>
      <c r="F26" s="215"/>
      <c r="G26" s="215"/>
    </row>
    <row r="27" spans="1:7">
      <c r="A27" s="153"/>
      <c r="B27" s="153"/>
      <c r="C27" s="153"/>
      <c r="D27" s="153"/>
      <c r="E27" s="153"/>
      <c r="F27" s="153"/>
      <c r="G27" s="153"/>
    </row>
    <row r="28" spans="1:7">
      <c r="A28" s="147" t="s">
        <v>41</v>
      </c>
      <c r="B28" s="147"/>
      <c r="C28" s="147"/>
      <c r="D28" s="147"/>
      <c r="E28" s="216" t="s">
        <v>134</v>
      </c>
      <c r="F28" s="216"/>
      <c r="G28" s="216"/>
    </row>
    <row r="29" spans="1:7">
      <c r="A29" s="147" t="s">
        <v>42</v>
      </c>
      <c r="B29" s="147"/>
      <c r="C29" s="147"/>
      <c r="D29" s="147"/>
      <c r="E29" s="207">
        <v>2859.58</v>
      </c>
      <c r="F29" s="207"/>
      <c r="G29" s="207"/>
    </row>
    <row r="30" spans="1:7">
      <c r="A30" s="147" t="s">
        <v>43</v>
      </c>
      <c r="B30" s="147"/>
      <c r="C30" s="147"/>
      <c r="D30" s="147"/>
      <c r="E30" s="149" t="s">
        <v>135</v>
      </c>
      <c r="F30" s="149"/>
      <c r="G30" s="149"/>
    </row>
    <row r="31" spans="1:7">
      <c r="A31" s="147" t="s">
        <v>44</v>
      </c>
      <c r="B31" s="147"/>
      <c r="C31" s="147"/>
      <c r="D31" s="147"/>
      <c r="E31" s="214">
        <f>'Vigilante 12X36 SEDE DIURNO'!E31:G31</f>
        <v>46023</v>
      </c>
      <c r="F31" s="149"/>
      <c r="G31" s="149"/>
    </row>
    <row r="32" spans="1:7">
      <c r="A32" s="211"/>
      <c r="B32" s="212"/>
      <c r="C32" s="212"/>
      <c r="D32" s="212"/>
      <c r="E32" s="212"/>
      <c r="F32" s="212"/>
      <c r="G32" s="213"/>
    </row>
    <row r="33" spans="1:7">
      <c r="A33" s="153" t="s">
        <v>45</v>
      </c>
      <c r="B33" s="153"/>
      <c r="C33" s="153"/>
      <c r="D33" s="153"/>
      <c r="E33" s="153"/>
      <c r="F33" s="153"/>
      <c r="G33" s="153"/>
    </row>
    <row r="34" spans="1:7">
      <c r="A34" s="180" t="s">
        <v>46</v>
      </c>
      <c r="B34" s="181"/>
      <c r="C34" s="181"/>
      <c r="D34" s="181"/>
      <c r="E34" s="21" t="s">
        <v>47</v>
      </c>
      <c r="F34" s="153" t="s">
        <v>48</v>
      </c>
      <c r="G34" s="155"/>
    </row>
    <row r="35" spans="1:7">
      <c r="A35" s="147" t="s">
        <v>49</v>
      </c>
      <c r="B35" s="147"/>
      <c r="C35" s="147"/>
      <c r="D35" s="147"/>
      <c r="E35" s="22"/>
      <c r="F35" s="207">
        <v>2859.58</v>
      </c>
      <c r="G35" s="207"/>
    </row>
    <row r="36" spans="1:7">
      <c r="A36" s="147" t="s">
        <v>50</v>
      </c>
      <c r="B36" s="147"/>
      <c r="C36" s="147"/>
      <c r="D36" s="147"/>
      <c r="E36" s="23">
        <v>30</v>
      </c>
      <c r="F36" s="207">
        <f>F35*30%</f>
        <v>857.87399999999991</v>
      </c>
      <c r="G36" s="207"/>
    </row>
    <row r="37" spans="1:7">
      <c r="A37" s="147" t="s">
        <v>208</v>
      </c>
      <c r="B37" s="147"/>
      <c r="C37" s="147"/>
      <c r="D37" s="147"/>
      <c r="E37" s="23">
        <v>20</v>
      </c>
      <c r="F37" s="231">
        <f>(8*15.21*((F35+F36)/220)*0.2)</f>
        <v>411.21800247272733</v>
      </c>
      <c r="G37" s="231"/>
    </row>
    <row r="38" spans="1:7">
      <c r="A38" s="174" t="s">
        <v>209</v>
      </c>
      <c r="B38" s="175"/>
      <c r="C38" s="175"/>
      <c r="D38" s="176"/>
      <c r="E38" s="24"/>
      <c r="F38" s="232" t="s">
        <v>162</v>
      </c>
      <c r="G38" s="233"/>
    </row>
    <row r="39" spans="1:7">
      <c r="A39" s="210" t="s">
        <v>51</v>
      </c>
      <c r="B39" s="210"/>
      <c r="C39" s="210"/>
      <c r="D39" s="210"/>
      <c r="E39" s="210"/>
      <c r="F39" s="179">
        <f>SUM(F35:G38)</f>
        <v>4128.6720024727274</v>
      </c>
      <c r="G39" s="179"/>
    </row>
    <row r="40" spans="1:7">
      <c r="A40" s="200"/>
      <c r="B40" s="201"/>
      <c r="C40" s="201"/>
      <c r="D40" s="201"/>
      <c r="E40" s="201"/>
      <c r="F40" s="201"/>
      <c r="G40" s="202"/>
    </row>
    <row r="41" spans="1:7">
      <c r="A41" s="153" t="s">
        <v>178</v>
      </c>
      <c r="B41" s="153"/>
      <c r="C41" s="153"/>
      <c r="D41" s="153"/>
      <c r="E41" s="153"/>
      <c r="F41" s="153"/>
      <c r="G41" s="153"/>
    </row>
    <row r="42" spans="1:7">
      <c r="A42" s="180" t="s">
        <v>52</v>
      </c>
      <c r="B42" s="181"/>
      <c r="C42" s="181"/>
      <c r="D42" s="181"/>
      <c r="E42" s="182"/>
      <c r="F42" s="153" t="s">
        <v>48</v>
      </c>
      <c r="G42" s="155"/>
    </row>
    <row r="43" spans="1:7">
      <c r="A43" s="189" t="s">
        <v>139</v>
      </c>
      <c r="B43" s="190"/>
      <c r="C43" s="190"/>
      <c r="D43" s="190"/>
      <c r="E43" s="191"/>
      <c r="F43" s="209">
        <f>'Vigilante 12X36 SEDE DIURNO'!F42:G42</f>
        <v>0</v>
      </c>
      <c r="G43" s="209"/>
    </row>
    <row r="44" spans="1:7">
      <c r="A44" s="174" t="str">
        <f>'Vigilante 12X36 SEDE DIURNO'!A43:E43</f>
        <v>B - Auxílio alimentação - Valor diário Cl. 12 ª CCT/2025: R$ 49,63; Qtde dias: 15,21 ( - ) 2% de participação do funcionário</v>
      </c>
      <c r="B44" s="175"/>
      <c r="C44" s="175"/>
      <c r="D44" s="175"/>
      <c r="E44" s="176"/>
      <c r="F44" s="207">
        <f>'Vigilante 12X36 SEDE DIURNO'!F43:G43</f>
        <v>739.77485400000012</v>
      </c>
      <c r="G44" s="207"/>
    </row>
    <row r="45" spans="1:7">
      <c r="A45" s="174" t="s">
        <v>184</v>
      </c>
      <c r="B45" s="175"/>
      <c r="C45" s="175"/>
      <c r="D45" s="175"/>
      <c r="E45" s="176"/>
      <c r="F45" s="207">
        <f>'Vigilante 12X36 SEDE DIURNO'!F44:G44</f>
        <v>171.87</v>
      </c>
      <c r="G45" s="207"/>
    </row>
    <row r="46" spans="1:7" ht="15" customHeight="1">
      <c r="A46" s="189" t="s">
        <v>185</v>
      </c>
      <c r="B46" s="190"/>
      <c r="C46" s="190"/>
      <c r="D46" s="190"/>
      <c r="E46" s="191"/>
      <c r="F46" s="208">
        <v>19.899999999999999</v>
      </c>
      <c r="G46" s="208"/>
    </row>
    <row r="47" spans="1:7" ht="15" customHeight="1">
      <c r="A47" s="171" t="s">
        <v>205</v>
      </c>
      <c r="B47" s="172"/>
      <c r="C47" s="172"/>
      <c r="D47" s="172"/>
      <c r="E47" s="173"/>
      <c r="F47" s="207">
        <f>'Vigilante 12X36 SEDE DIURNO'!F46:G46</f>
        <v>11.34</v>
      </c>
      <c r="G47" s="207"/>
    </row>
    <row r="48" spans="1:7" ht="15" customHeight="1">
      <c r="A48" s="171" t="s">
        <v>177</v>
      </c>
      <c r="B48" s="172"/>
      <c r="C48" s="172"/>
      <c r="D48" s="172"/>
      <c r="E48" s="173"/>
      <c r="F48" s="205">
        <f>'Vigilante 12X36 SEDE DIURNO'!F47:G47</f>
        <v>19.04</v>
      </c>
      <c r="G48" s="206"/>
    </row>
    <row r="49" spans="1:7" ht="15" customHeight="1">
      <c r="A49" s="171" t="str">
        <f>'Vigilante 12X36 SEDE DIURNO'!A48:E48</f>
        <v>G - Outros</v>
      </c>
      <c r="B49" s="172"/>
      <c r="C49" s="172"/>
      <c r="D49" s="172"/>
      <c r="E49" s="173"/>
      <c r="F49" s="203">
        <v>0</v>
      </c>
      <c r="G49" s="204"/>
    </row>
    <row r="50" spans="1:7">
      <c r="A50" s="150" t="s">
        <v>53</v>
      </c>
      <c r="B50" s="150"/>
      <c r="C50" s="150"/>
      <c r="D50" s="150"/>
      <c r="E50" s="150"/>
      <c r="F50" s="152">
        <f>SUM(F43:G48)</f>
        <v>961.9248540000001</v>
      </c>
      <c r="G50" s="152"/>
    </row>
    <row r="51" spans="1:7">
      <c r="A51" s="153" t="s">
        <v>54</v>
      </c>
      <c r="B51" s="153"/>
      <c r="C51" s="153"/>
      <c r="D51" s="153"/>
      <c r="E51" s="153"/>
      <c r="F51" s="153"/>
      <c r="G51" s="153"/>
    </row>
    <row r="52" spans="1:7">
      <c r="A52" s="186" t="s">
        <v>179</v>
      </c>
      <c r="B52" s="187"/>
      <c r="C52" s="187"/>
      <c r="D52" s="187"/>
      <c r="E52" s="188"/>
      <c r="F52" s="153" t="s">
        <v>48</v>
      </c>
      <c r="G52" s="155"/>
    </row>
    <row r="53" spans="1:7">
      <c r="A53" s="147" t="s">
        <v>55</v>
      </c>
      <c r="B53" s="147"/>
      <c r="C53" s="147"/>
      <c r="D53" s="147"/>
      <c r="E53" s="147"/>
      <c r="F53" s="207">
        <f>Uniforme!H17</f>
        <v>57.495000000000005</v>
      </c>
      <c r="G53" s="207"/>
    </row>
    <row r="54" spans="1:7">
      <c r="A54" s="189" t="s">
        <v>56</v>
      </c>
      <c r="B54" s="190"/>
      <c r="C54" s="190"/>
      <c r="D54" s="190"/>
      <c r="E54" s="191"/>
      <c r="F54" s="203">
        <f>Equipamentos!J18</f>
        <v>46.299699702380956</v>
      </c>
      <c r="G54" s="204"/>
    </row>
    <row r="55" spans="1:7">
      <c r="A55" s="174" t="s">
        <v>57</v>
      </c>
      <c r="B55" s="175"/>
      <c r="C55" s="175"/>
      <c r="D55" s="175"/>
      <c r="E55" s="176"/>
      <c r="F55" s="203">
        <f>Material!I18</f>
        <v>12.91077380952381</v>
      </c>
      <c r="G55" s="204"/>
    </row>
    <row r="56" spans="1:7">
      <c r="A56" s="174" t="s">
        <v>138</v>
      </c>
      <c r="B56" s="175"/>
      <c r="C56" s="175"/>
      <c r="D56" s="175"/>
      <c r="E56" s="176"/>
      <c r="F56" s="205"/>
      <c r="G56" s="206"/>
    </row>
    <row r="57" spans="1:7">
      <c r="A57" s="150" t="s">
        <v>58</v>
      </c>
      <c r="B57" s="151"/>
      <c r="C57" s="151"/>
      <c r="D57" s="151"/>
      <c r="E57" s="151"/>
      <c r="F57" s="152">
        <f>SUM(F53:G56)</f>
        <v>116.70547351190478</v>
      </c>
      <c r="G57" s="152"/>
    </row>
    <row r="58" spans="1:7">
      <c r="A58" s="200"/>
      <c r="B58" s="201"/>
      <c r="C58" s="201"/>
      <c r="D58" s="201"/>
      <c r="E58" s="201"/>
      <c r="F58" s="201"/>
      <c r="G58" s="202"/>
    </row>
    <row r="59" spans="1:7">
      <c r="A59" s="153" t="s">
        <v>59</v>
      </c>
      <c r="B59" s="153"/>
      <c r="C59" s="153"/>
      <c r="D59" s="153"/>
      <c r="E59" s="153"/>
      <c r="F59" s="153"/>
      <c r="G59" s="153"/>
    </row>
    <row r="60" spans="1:7">
      <c r="A60" s="153" t="s">
        <v>60</v>
      </c>
      <c r="B60" s="153"/>
      <c r="C60" s="153"/>
      <c r="D60" s="153"/>
      <c r="E60" s="153"/>
      <c r="F60" s="153"/>
      <c r="G60" s="153"/>
    </row>
    <row r="61" spans="1:7">
      <c r="A61" s="154" t="s">
        <v>61</v>
      </c>
      <c r="B61" s="154"/>
      <c r="C61" s="154"/>
      <c r="D61" s="154"/>
      <c r="E61" s="25" t="s">
        <v>62</v>
      </c>
      <c r="F61" s="153" t="s">
        <v>48</v>
      </c>
      <c r="G61" s="155"/>
    </row>
    <row r="62" spans="1:7">
      <c r="A62" s="198" t="s">
        <v>63</v>
      </c>
      <c r="B62" s="198"/>
      <c r="C62" s="198"/>
      <c r="D62" s="198"/>
      <c r="E62" s="26">
        <v>0.2</v>
      </c>
      <c r="F62" s="170">
        <f>E62*F39</f>
        <v>825.73440049454553</v>
      </c>
      <c r="G62" s="170"/>
    </row>
    <row r="63" spans="1:7">
      <c r="A63" s="198" t="s">
        <v>64</v>
      </c>
      <c r="B63" s="198"/>
      <c r="C63" s="198"/>
      <c r="D63" s="198"/>
      <c r="E63" s="26">
        <v>1.4999999999999999E-2</v>
      </c>
      <c r="F63" s="170">
        <f>E63*F39</f>
        <v>61.93008003709091</v>
      </c>
      <c r="G63" s="170"/>
    </row>
    <row r="64" spans="1:7">
      <c r="A64" s="198" t="s">
        <v>65</v>
      </c>
      <c r="B64" s="198"/>
      <c r="C64" s="198"/>
      <c r="D64" s="198"/>
      <c r="E64" s="26">
        <v>0.01</v>
      </c>
      <c r="F64" s="170">
        <f>E64*F39</f>
        <v>41.286720024727273</v>
      </c>
      <c r="G64" s="170"/>
    </row>
    <row r="65" spans="1:7">
      <c r="A65" s="198" t="s">
        <v>66</v>
      </c>
      <c r="B65" s="198"/>
      <c r="C65" s="198"/>
      <c r="D65" s="198"/>
      <c r="E65" s="26">
        <v>2E-3</v>
      </c>
      <c r="F65" s="170">
        <f>E65*F39</f>
        <v>8.2573440049454554</v>
      </c>
      <c r="G65" s="170"/>
    </row>
    <row r="66" spans="1:7">
      <c r="A66" s="198" t="s">
        <v>67</v>
      </c>
      <c r="B66" s="198"/>
      <c r="C66" s="198"/>
      <c r="D66" s="198"/>
      <c r="E66" s="26">
        <v>2.5000000000000001E-2</v>
      </c>
      <c r="F66" s="170">
        <f>E66*F39</f>
        <v>103.21680006181819</v>
      </c>
      <c r="G66" s="170"/>
    </row>
    <row r="67" spans="1:7">
      <c r="A67" s="198" t="s">
        <v>68</v>
      </c>
      <c r="B67" s="198"/>
      <c r="C67" s="198"/>
      <c r="D67" s="198"/>
      <c r="E67" s="26">
        <v>0.08</v>
      </c>
      <c r="F67" s="170">
        <f>E67*F39</f>
        <v>330.29376019781819</v>
      </c>
      <c r="G67" s="170"/>
    </row>
    <row r="68" spans="1:7">
      <c r="A68" s="199" t="s">
        <v>69</v>
      </c>
      <c r="B68" s="199"/>
      <c r="C68" s="199"/>
      <c r="D68" s="199"/>
      <c r="E68" s="102">
        <v>0.03</v>
      </c>
      <c r="F68" s="170">
        <f>E68*F39</f>
        <v>123.86016007418182</v>
      </c>
      <c r="G68" s="170"/>
    </row>
    <row r="69" spans="1:7">
      <c r="A69" s="198" t="s">
        <v>70</v>
      </c>
      <c r="B69" s="198"/>
      <c r="C69" s="198"/>
      <c r="D69" s="198"/>
      <c r="E69" s="26">
        <v>6.0000000000000001E-3</v>
      </c>
      <c r="F69" s="170">
        <f>E69*F39</f>
        <v>24.772032014836366</v>
      </c>
      <c r="G69" s="170"/>
    </row>
    <row r="70" spans="1:7">
      <c r="A70" s="150" t="s">
        <v>71</v>
      </c>
      <c r="B70" s="150"/>
      <c r="C70" s="150"/>
      <c r="D70" s="150"/>
      <c r="E70" s="27">
        <f>SUM(E62:E69)</f>
        <v>0.3680000000000001</v>
      </c>
      <c r="F70" s="152">
        <f>SUM(F62:G69)</f>
        <v>1519.3512969099638</v>
      </c>
      <c r="G70" s="152"/>
    </row>
    <row r="71" spans="1:7">
      <c r="A71" s="153" t="s">
        <v>72</v>
      </c>
      <c r="B71" s="153"/>
      <c r="C71" s="153"/>
      <c r="D71" s="153"/>
      <c r="E71" s="153"/>
      <c r="F71" s="153"/>
      <c r="G71" s="153"/>
    </row>
    <row r="72" spans="1:7">
      <c r="A72" s="180" t="s">
        <v>73</v>
      </c>
      <c r="B72" s="181"/>
      <c r="C72" s="181"/>
      <c r="D72" s="181"/>
      <c r="E72" s="182"/>
      <c r="F72" s="153" t="s">
        <v>48</v>
      </c>
      <c r="G72" s="155"/>
    </row>
    <row r="73" spans="1:7">
      <c r="A73" s="189" t="s">
        <v>74</v>
      </c>
      <c r="B73" s="190"/>
      <c r="C73" s="190"/>
      <c r="D73" s="190"/>
      <c r="E73" s="191"/>
      <c r="F73" s="170">
        <f>F39/12</f>
        <v>344.05600020606062</v>
      </c>
      <c r="G73" s="170"/>
    </row>
    <row r="74" spans="1:7">
      <c r="A74" s="192" t="s">
        <v>75</v>
      </c>
      <c r="B74" s="193"/>
      <c r="C74" s="193"/>
      <c r="D74" s="193"/>
      <c r="E74" s="194"/>
      <c r="F74" s="170">
        <f>F39/3/12</f>
        <v>114.68533340202021</v>
      </c>
      <c r="G74" s="170"/>
    </row>
    <row r="75" spans="1:7">
      <c r="A75" s="195" t="s">
        <v>211</v>
      </c>
      <c r="B75" s="196"/>
      <c r="C75" s="196"/>
      <c r="D75" s="196"/>
      <c r="E75" s="197"/>
      <c r="F75" s="152">
        <f>SUM(F73:G74)</f>
        <v>458.74133360808082</v>
      </c>
      <c r="G75" s="152"/>
    </row>
    <row r="76" spans="1:7">
      <c r="A76" s="174" t="s">
        <v>77</v>
      </c>
      <c r="B76" s="175"/>
      <c r="C76" s="175"/>
      <c r="D76" s="175"/>
      <c r="E76" s="176"/>
      <c r="F76" s="170" t="str">
        <f>A80</f>
        <v>A - Afastamento Maternidade (estima-se que  1% dos prestadores de serviços gozarão licença maternidade no primeiro ano do contrato)</v>
      </c>
      <c r="G76" s="170"/>
    </row>
    <row r="77" spans="1:7">
      <c r="A77" s="150" t="s">
        <v>78</v>
      </c>
      <c r="B77" s="150"/>
      <c r="C77" s="150"/>
      <c r="D77" s="150"/>
      <c r="E77" s="150"/>
      <c r="F77" s="152">
        <f>SUM(F73,F74,F76)</f>
        <v>458.74133360808082</v>
      </c>
      <c r="G77" s="152"/>
    </row>
    <row r="78" spans="1:7">
      <c r="A78" s="153" t="s">
        <v>79</v>
      </c>
      <c r="B78" s="153"/>
      <c r="C78" s="153"/>
      <c r="D78" s="153"/>
      <c r="E78" s="153"/>
      <c r="F78" s="153"/>
      <c r="G78" s="153"/>
    </row>
    <row r="79" spans="1:7">
      <c r="A79" s="186" t="s">
        <v>80</v>
      </c>
      <c r="B79" s="187"/>
      <c r="C79" s="187"/>
      <c r="D79" s="187"/>
      <c r="E79" s="188"/>
      <c r="F79" s="153" t="s">
        <v>48</v>
      </c>
      <c r="G79" s="155"/>
    </row>
    <row r="80" spans="1:7" ht="26.25" customHeight="1">
      <c r="A80" s="171" t="s">
        <v>168</v>
      </c>
      <c r="B80" s="172"/>
      <c r="C80" s="172"/>
      <c r="D80" s="172"/>
      <c r="E80" s="173"/>
      <c r="F80" s="170">
        <f>(F39/3+F39)*0.333/12*0.01</f>
        <v>1.5276086409149094</v>
      </c>
      <c r="G80" s="170"/>
    </row>
    <row r="81" spans="1:7">
      <c r="A81" s="147" t="s">
        <v>81</v>
      </c>
      <c r="B81" s="147"/>
      <c r="C81" s="147"/>
      <c r="D81" s="147"/>
      <c r="E81" s="147"/>
      <c r="F81" s="170">
        <f>E70*F80</f>
        <v>0.56215997985668686</v>
      </c>
      <c r="G81" s="170"/>
    </row>
    <row r="82" spans="1:7">
      <c r="A82" s="150" t="s">
        <v>82</v>
      </c>
      <c r="B82" s="150"/>
      <c r="C82" s="150"/>
      <c r="D82" s="150"/>
      <c r="E82" s="150"/>
      <c r="F82" s="152">
        <f>SUM(F80:G81)</f>
        <v>2.0897686207715962</v>
      </c>
      <c r="G82" s="152"/>
    </row>
    <row r="83" spans="1:7">
      <c r="A83" s="153" t="s">
        <v>83</v>
      </c>
      <c r="B83" s="153"/>
      <c r="C83" s="153"/>
      <c r="D83" s="153"/>
      <c r="E83" s="153"/>
      <c r="F83" s="153"/>
      <c r="G83" s="153"/>
    </row>
    <row r="84" spans="1:7">
      <c r="A84" s="180" t="s">
        <v>84</v>
      </c>
      <c r="B84" s="181"/>
      <c r="C84" s="181"/>
      <c r="D84" s="181"/>
      <c r="E84" s="182"/>
      <c r="F84" s="153" t="s">
        <v>48</v>
      </c>
      <c r="G84" s="155"/>
    </row>
    <row r="85" spans="1:7">
      <c r="A85" s="171" t="s">
        <v>166</v>
      </c>
      <c r="B85" s="172"/>
      <c r="C85" s="172"/>
      <c r="D85" s="172"/>
      <c r="E85" s="173"/>
      <c r="F85" s="170">
        <f>(F39/12)*0.01</f>
        <v>3.4405600020606064</v>
      </c>
      <c r="G85" s="170"/>
    </row>
    <row r="86" spans="1:7">
      <c r="A86" s="147" t="s">
        <v>85</v>
      </c>
      <c r="B86" s="147"/>
      <c r="C86" s="147"/>
      <c r="D86" s="147"/>
      <c r="E86" s="147"/>
      <c r="F86" s="185">
        <f>F85*E67</f>
        <v>0.27524480016484854</v>
      </c>
      <c r="G86" s="170"/>
    </row>
    <row r="87" spans="1:7">
      <c r="A87" s="171" t="s">
        <v>86</v>
      </c>
      <c r="B87" s="172"/>
      <c r="C87" s="172"/>
      <c r="D87" s="172"/>
      <c r="E87" s="173"/>
      <c r="F87" s="170">
        <f>F86*0.4</f>
        <v>0.11009792006593942</v>
      </c>
      <c r="G87" s="170"/>
    </row>
    <row r="88" spans="1:7" ht="15" customHeight="1">
      <c r="A88" s="171" t="s">
        <v>212</v>
      </c>
      <c r="B88" s="172"/>
      <c r="C88" s="172"/>
      <c r="D88" s="172"/>
      <c r="E88" s="173"/>
      <c r="F88" s="170">
        <f>(F39/30)*0.7/12</f>
        <v>8.0279733381414129</v>
      </c>
      <c r="G88" s="170"/>
    </row>
    <row r="89" spans="1:7">
      <c r="A89" s="147" t="s">
        <v>87</v>
      </c>
      <c r="B89" s="147"/>
      <c r="C89" s="147"/>
      <c r="D89" s="147"/>
      <c r="E89" s="147"/>
      <c r="F89" s="185">
        <f>F88*E70</f>
        <v>2.954294188436041</v>
      </c>
      <c r="G89" s="170"/>
    </row>
    <row r="90" spans="1:7">
      <c r="A90" s="171" t="s">
        <v>88</v>
      </c>
      <c r="B90" s="172"/>
      <c r="C90" s="172"/>
      <c r="D90" s="172"/>
      <c r="E90" s="173"/>
      <c r="F90" s="170">
        <f>(F39*E67)*0.4</f>
        <v>132.11750407912729</v>
      </c>
      <c r="G90" s="170"/>
    </row>
    <row r="91" spans="1:7">
      <c r="A91" s="150" t="s">
        <v>89</v>
      </c>
      <c r="B91" s="150"/>
      <c r="C91" s="150"/>
      <c r="D91" s="150"/>
      <c r="E91" s="150"/>
      <c r="F91" s="179">
        <f>SUM(F85:F90)</f>
        <v>146.92567432799615</v>
      </c>
      <c r="G91" s="179"/>
    </row>
    <row r="92" spans="1:7">
      <c r="A92" s="180" t="s">
        <v>90</v>
      </c>
      <c r="B92" s="181"/>
      <c r="C92" s="181"/>
      <c r="D92" s="181"/>
      <c r="E92" s="181"/>
      <c r="F92" s="181"/>
      <c r="G92" s="182"/>
    </row>
    <row r="93" spans="1:7">
      <c r="A93" s="180" t="s">
        <v>91</v>
      </c>
      <c r="B93" s="181"/>
      <c r="C93" s="181"/>
      <c r="D93" s="181"/>
      <c r="E93" s="182"/>
      <c r="F93" s="180" t="s">
        <v>48</v>
      </c>
      <c r="G93" s="183"/>
    </row>
    <row r="94" spans="1:7">
      <c r="A94" s="171" t="s">
        <v>92</v>
      </c>
      <c r="B94" s="172"/>
      <c r="C94" s="172"/>
      <c r="D94" s="172"/>
      <c r="E94" s="173"/>
      <c r="F94" s="170">
        <f>F39/12</f>
        <v>344.05600020606062</v>
      </c>
      <c r="G94" s="170"/>
    </row>
    <row r="95" spans="1:7">
      <c r="A95" s="171" t="s">
        <v>167</v>
      </c>
      <c r="B95" s="172"/>
      <c r="C95" s="172"/>
      <c r="D95" s="172"/>
      <c r="E95" s="173"/>
      <c r="F95" s="170">
        <f>(F39/30)*1/12</f>
        <v>11.46853334020202</v>
      </c>
      <c r="G95" s="170"/>
    </row>
    <row r="96" spans="1:7" ht="15" customHeight="1">
      <c r="A96" s="171" t="s">
        <v>214</v>
      </c>
      <c r="B96" s="172"/>
      <c r="C96" s="172"/>
      <c r="D96" s="172"/>
      <c r="E96" s="173"/>
      <c r="F96" s="177">
        <f>(F39/30*5)/12*0.0157</f>
        <v>0.90027986720585851</v>
      </c>
      <c r="G96" s="178"/>
    </row>
    <row r="97" spans="1:7" ht="15" customHeight="1">
      <c r="A97" s="171" t="s">
        <v>213</v>
      </c>
      <c r="B97" s="172"/>
      <c r="C97" s="172"/>
      <c r="D97" s="172"/>
      <c r="E97" s="173"/>
      <c r="F97" s="170">
        <f>(F39/30*3)/12*0.3</f>
        <v>10.321680006181817</v>
      </c>
      <c r="G97" s="170"/>
    </row>
    <row r="98" spans="1:7" ht="15" customHeight="1">
      <c r="A98" s="171" t="s">
        <v>215</v>
      </c>
      <c r="B98" s="172"/>
      <c r="C98" s="172"/>
      <c r="D98" s="172"/>
      <c r="E98" s="173"/>
      <c r="F98" s="162">
        <f>(F39/30*15)/12*0.012</f>
        <v>2.0643360012363638</v>
      </c>
      <c r="G98" s="162"/>
    </row>
    <row r="99" spans="1:7">
      <c r="A99" s="174" t="s">
        <v>93</v>
      </c>
      <c r="B99" s="175"/>
      <c r="C99" s="175"/>
      <c r="D99" s="175"/>
      <c r="E99" s="176"/>
      <c r="F99" s="170">
        <f>F39*E99</f>
        <v>0</v>
      </c>
      <c r="G99" s="170"/>
    </row>
    <row r="100" spans="1:7">
      <c r="A100" s="150" t="s">
        <v>76</v>
      </c>
      <c r="B100" s="150"/>
      <c r="C100" s="150"/>
      <c r="D100" s="150"/>
      <c r="E100" s="150"/>
      <c r="F100" s="152">
        <f>SUM(F94:G99)</f>
        <v>368.81082942088671</v>
      </c>
      <c r="G100" s="152"/>
    </row>
    <row r="101" spans="1:7">
      <c r="A101" s="147" t="s">
        <v>94</v>
      </c>
      <c r="B101" s="147"/>
      <c r="C101" s="147"/>
      <c r="D101" s="147"/>
      <c r="E101" s="147"/>
      <c r="F101" s="170">
        <f>F100*E70</f>
        <v>135.72238522688636</v>
      </c>
      <c r="G101" s="170"/>
    </row>
    <row r="102" spans="1:7">
      <c r="A102" s="150" t="s">
        <v>95</v>
      </c>
      <c r="B102" s="150"/>
      <c r="C102" s="150"/>
      <c r="D102" s="150"/>
      <c r="E102" s="150"/>
      <c r="F102" s="152">
        <f>F100+F101</f>
        <v>504.53321464777309</v>
      </c>
      <c r="G102" s="152"/>
    </row>
    <row r="103" spans="1:7">
      <c r="A103" s="153" t="s">
        <v>96</v>
      </c>
      <c r="B103" s="153"/>
      <c r="C103" s="153"/>
      <c r="D103" s="153"/>
      <c r="E103" s="153"/>
      <c r="F103" s="153"/>
      <c r="G103" s="153"/>
    </row>
    <row r="104" spans="1:7">
      <c r="A104" s="154" t="s">
        <v>97</v>
      </c>
      <c r="B104" s="154"/>
      <c r="C104" s="154"/>
      <c r="D104" s="154"/>
      <c r="E104" s="154"/>
      <c r="F104" s="153" t="s">
        <v>48</v>
      </c>
      <c r="G104" s="155"/>
    </row>
    <row r="105" spans="1:7">
      <c r="A105" s="147" t="s">
        <v>61</v>
      </c>
      <c r="B105" s="147"/>
      <c r="C105" s="147"/>
      <c r="D105" s="147"/>
      <c r="E105" s="147"/>
      <c r="F105" s="148">
        <f>F70</f>
        <v>1519.3512969099638</v>
      </c>
      <c r="G105" s="149"/>
    </row>
    <row r="106" spans="1:7">
      <c r="A106" s="147" t="s">
        <v>73</v>
      </c>
      <c r="B106" s="147"/>
      <c r="C106" s="147"/>
      <c r="D106" s="147"/>
      <c r="E106" s="147"/>
      <c r="F106" s="148">
        <f>F77</f>
        <v>458.74133360808082</v>
      </c>
      <c r="G106" s="149"/>
    </row>
    <row r="107" spans="1:7">
      <c r="A107" s="147" t="s">
        <v>80</v>
      </c>
      <c r="B107" s="147"/>
      <c r="C107" s="147"/>
      <c r="D107" s="147"/>
      <c r="E107" s="147"/>
      <c r="F107" s="148">
        <f>F82</f>
        <v>2.0897686207715962</v>
      </c>
      <c r="G107" s="149"/>
    </row>
    <row r="108" spans="1:7">
      <c r="A108" s="147" t="s">
        <v>84</v>
      </c>
      <c r="B108" s="147"/>
      <c r="C108" s="147"/>
      <c r="D108" s="147"/>
      <c r="E108" s="147"/>
      <c r="F108" s="148">
        <f>F91</f>
        <v>146.92567432799615</v>
      </c>
      <c r="G108" s="149"/>
    </row>
    <row r="109" spans="1:7">
      <c r="A109" s="147" t="s">
        <v>91</v>
      </c>
      <c r="B109" s="147"/>
      <c r="C109" s="147"/>
      <c r="D109" s="147"/>
      <c r="E109" s="147"/>
      <c r="F109" s="148">
        <f>F102</f>
        <v>504.53321464777309</v>
      </c>
      <c r="G109" s="149"/>
    </row>
    <row r="110" spans="1:7">
      <c r="A110" s="147" t="s">
        <v>158</v>
      </c>
      <c r="B110" s="147"/>
      <c r="C110" s="147"/>
      <c r="D110" s="147"/>
      <c r="E110" s="147"/>
      <c r="F110" s="148">
        <v>0</v>
      </c>
      <c r="G110" s="149"/>
    </row>
    <row r="111" spans="1:7">
      <c r="A111" s="150" t="s">
        <v>98</v>
      </c>
      <c r="B111" s="151"/>
      <c r="C111" s="151"/>
      <c r="D111" s="151"/>
      <c r="E111" s="151"/>
      <c r="F111" s="152">
        <f>SUM(F105:G110)</f>
        <v>2631.6412881145852</v>
      </c>
      <c r="G111" s="152"/>
    </row>
    <row r="112" spans="1:7">
      <c r="A112" s="169"/>
      <c r="B112" s="169"/>
      <c r="C112" s="169"/>
      <c r="D112" s="169"/>
      <c r="E112" s="169"/>
      <c r="F112" s="169"/>
      <c r="G112" s="169"/>
    </row>
    <row r="113" spans="1:7">
      <c r="A113" s="153" t="s">
        <v>99</v>
      </c>
      <c r="B113" s="153"/>
      <c r="C113" s="153"/>
      <c r="D113" s="153"/>
      <c r="E113" s="153"/>
      <c r="F113" s="153"/>
      <c r="G113" s="153"/>
    </row>
    <row r="114" spans="1:7">
      <c r="A114" s="153" t="s">
        <v>100</v>
      </c>
      <c r="B114" s="153"/>
      <c r="C114" s="153"/>
      <c r="D114" s="153"/>
      <c r="E114" s="153"/>
      <c r="F114" s="153"/>
      <c r="G114" s="153"/>
    </row>
    <row r="115" spans="1:7">
      <c r="A115" s="154" t="s">
        <v>101</v>
      </c>
      <c r="B115" s="154"/>
      <c r="C115" s="154"/>
      <c r="D115" s="154"/>
      <c r="E115" s="25" t="s">
        <v>62</v>
      </c>
      <c r="F115" s="153" t="s">
        <v>48</v>
      </c>
      <c r="G115" s="155"/>
    </row>
    <row r="116" spans="1:7" ht="25.5" customHeight="1">
      <c r="A116" s="168" t="s">
        <v>217</v>
      </c>
      <c r="B116" s="168"/>
      <c r="C116" s="168"/>
      <c r="D116" s="168"/>
      <c r="E116" s="103">
        <v>2.75E-2</v>
      </c>
      <c r="F116" s="148">
        <f>(F39+F50+F57+F111)*E116</f>
        <v>215.57094949772846</v>
      </c>
      <c r="G116" s="155"/>
    </row>
    <row r="117" spans="1:7">
      <c r="A117" s="153" t="s">
        <v>102</v>
      </c>
      <c r="B117" s="153"/>
      <c r="C117" s="153"/>
      <c r="D117" s="153"/>
      <c r="E117" s="153"/>
      <c r="F117" s="153"/>
      <c r="G117" s="153"/>
    </row>
    <row r="118" spans="1:7">
      <c r="A118" s="154" t="s">
        <v>103</v>
      </c>
      <c r="B118" s="154"/>
      <c r="C118" s="154"/>
      <c r="D118" s="154"/>
      <c r="E118" s="25" t="s">
        <v>62</v>
      </c>
      <c r="F118" s="153" t="s">
        <v>48</v>
      </c>
      <c r="G118" s="155"/>
    </row>
    <row r="119" spans="1:7" ht="23.25" customHeight="1">
      <c r="A119" s="168" t="s">
        <v>218</v>
      </c>
      <c r="B119" s="168"/>
      <c r="C119" s="168"/>
      <c r="D119" s="168"/>
      <c r="E119" s="104">
        <v>1.6299999999999999E-2</v>
      </c>
      <c r="F119" s="148">
        <f>SUM(F39,F50,F57,F111,F116)*E119</f>
        <v>131.28858745183018</v>
      </c>
      <c r="G119" s="155"/>
    </row>
    <row r="120" spans="1:7">
      <c r="A120" s="153" t="s">
        <v>104</v>
      </c>
      <c r="B120" s="153"/>
      <c r="C120" s="153"/>
      <c r="D120" s="153"/>
      <c r="E120" s="153"/>
      <c r="F120" s="153"/>
      <c r="G120" s="153"/>
    </row>
    <row r="121" spans="1:7">
      <c r="A121" s="154" t="s">
        <v>105</v>
      </c>
      <c r="B121" s="154"/>
      <c r="C121" s="154"/>
      <c r="D121" s="154"/>
      <c r="E121" s="154"/>
      <c r="F121" s="153" t="s">
        <v>48</v>
      </c>
      <c r="G121" s="155"/>
    </row>
    <row r="122" spans="1:7">
      <c r="A122" s="154" t="s">
        <v>106</v>
      </c>
      <c r="B122" s="154"/>
      <c r="C122" s="154"/>
      <c r="D122" s="154"/>
      <c r="E122" s="154"/>
      <c r="F122" s="167" t="s">
        <v>47</v>
      </c>
      <c r="G122" s="167"/>
    </row>
    <row r="123" spans="1:7">
      <c r="A123" s="147" t="s">
        <v>107</v>
      </c>
      <c r="B123" s="147"/>
      <c r="C123" s="147"/>
      <c r="D123" s="147"/>
      <c r="E123" s="147"/>
      <c r="F123" s="165">
        <f>'PIS-COFINS'!F18</f>
        <v>1.6499999999999997</v>
      </c>
      <c r="G123" s="165"/>
    </row>
    <row r="124" spans="1:7">
      <c r="A124" s="147" t="s">
        <v>108</v>
      </c>
      <c r="B124" s="147"/>
      <c r="C124" s="147"/>
      <c r="D124" s="147"/>
      <c r="E124" s="147"/>
      <c r="F124" s="165">
        <f>'PIS-COFINS'!F34</f>
        <v>7.5999999999999988</v>
      </c>
      <c r="G124" s="165"/>
    </row>
    <row r="125" spans="1:7">
      <c r="A125" s="154" t="s">
        <v>109</v>
      </c>
      <c r="B125" s="154"/>
      <c r="C125" s="154"/>
      <c r="D125" s="154"/>
      <c r="E125" s="154"/>
      <c r="F125" s="167" t="s">
        <v>47</v>
      </c>
      <c r="G125" s="167"/>
    </row>
    <row r="126" spans="1:7">
      <c r="A126" s="147" t="s">
        <v>110</v>
      </c>
      <c r="B126" s="147"/>
      <c r="C126" s="147"/>
      <c r="D126" s="147"/>
      <c r="E126" s="147"/>
      <c r="F126" s="165">
        <v>5</v>
      </c>
      <c r="G126" s="165"/>
    </row>
    <row r="127" spans="1:7">
      <c r="A127" s="154" t="s">
        <v>111</v>
      </c>
      <c r="B127" s="154"/>
      <c r="C127" s="154"/>
      <c r="D127" s="154"/>
      <c r="E127" s="154"/>
      <c r="F127" s="167" t="s">
        <v>47</v>
      </c>
      <c r="G127" s="167"/>
    </row>
    <row r="128" spans="1:7">
      <c r="A128" s="147" t="s">
        <v>112</v>
      </c>
      <c r="B128" s="147"/>
      <c r="C128" s="147"/>
      <c r="D128" s="147"/>
      <c r="E128" s="147"/>
      <c r="F128" s="165">
        <v>0</v>
      </c>
      <c r="G128" s="165"/>
    </row>
    <row r="129" spans="1:7">
      <c r="A129" s="150" t="s">
        <v>113</v>
      </c>
      <c r="B129" s="150"/>
      <c r="C129" s="150"/>
      <c r="D129" s="150"/>
      <c r="E129" s="150"/>
      <c r="F129" s="165">
        <f>SUM(F123,F124,F126,F128)</f>
        <v>14.249999999999998</v>
      </c>
      <c r="G129" s="165"/>
    </row>
    <row r="130" spans="1:7">
      <c r="A130" s="156" t="s">
        <v>114</v>
      </c>
      <c r="B130" s="156"/>
      <c r="C130" s="156"/>
      <c r="D130" s="163">
        <f>F129/100</f>
        <v>0.14249999999999999</v>
      </c>
      <c r="E130" s="163"/>
      <c r="F130" s="166"/>
      <c r="G130" s="166"/>
    </row>
    <row r="131" spans="1:7">
      <c r="A131" s="160" t="s">
        <v>115</v>
      </c>
      <c r="B131" s="160"/>
      <c r="C131" s="160"/>
      <c r="D131" s="161" t="s">
        <v>116</v>
      </c>
      <c r="E131" s="161"/>
      <c r="F131" s="162">
        <f>SUM(F39,F50,F57,F111,F116,F119)</f>
        <v>8185.8031550487758</v>
      </c>
      <c r="G131" s="162"/>
    </row>
    <row r="132" spans="1:7">
      <c r="A132" s="156" t="s">
        <v>117</v>
      </c>
      <c r="B132" s="156"/>
      <c r="C132" s="156"/>
      <c r="D132" s="163">
        <f>1-D130</f>
        <v>0.85750000000000004</v>
      </c>
      <c r="E132" s="163"/>
      <c r="F132" s="164"/>
      <c r="G132" s="164"/>
    </row>
    <row r="133" spans="1:7">
      <c r="A133" s="156" t="s">
        <v>118</v>
      </c>
      <c r="B133" s="156"/>
      <c r="C133" s="156"/>
      <c r="D133" s="157" t="s">
        <v>119</v>
      </c>
      <c r="E133" s="157"/>
      <c r="F133" s="158">
        <f>F131/D132</f>
        <v>9546.1261283367639</v>
      </c>
      <c r="G133" s="158"/>
    </row>
    <row r="134" spans="1:7">
      <c r="A134" s="150" t="s">
        <v>120</v>
      </c>
      <c r="B134" s="150"/>
      <c r="C134" s="150"/>
      <c r="D134" s="150"/>
      <c r="E134" s="150"/>
      <c r="F134" s="159">
        <f>F129/100*F133</f>
        <v>1360.3229732879888</v>
      </c>
      <c r="G134" s="159"/>
    </row>
    <row r="135" spans="1:7">
      <c r="A135" s="153" t="s">
        <v>121</v>
      </c>
      <c r="B135" s="153"/>
      <c r="C135" s="153"/>
      <c r="D135" s="153"/>
      <c r="E135" s="153"/>
      <c r="F135" s="153"/>
      <c r="G135" s="153"/>
    </row>
    <row r="136" spans="1:7">
      <c r="A136" s="154" t="s">
        <v>122</v>
      </c>
      <c r="B136" s="154"/>
      <c r="C136" s="154"/>
      <c r="D136" s="154"/>
      <c r="E136" s="154"/>
      <c r="F136" s="153" t="s">
        <v>48</v>
      </c>
      <c r="G136" s="155"/>
    </row>
    <row r="137" spans="1:7">
      <c r="A137" s="147" t="s">
        <v>101</v>
      </c>
      <c r="B137" s="147"/>
      <c r="C137" s="147"/>
      <c r="D137" s="147"/>
      <c r="E137" s="147"/>
      <c r="F137" s="148">
        <f>F116</f>
        <v>215.57094949772846</v>
      </c>
      <c r="G137" s="149"/>
    </row>
    <row r="138" spans="1:7">
      <c r="A138" s="147" t="s">
        <v>103</v>
      </c>
      <c r="B138" s="147"/>
      <c r="C138" s="147"/>
      <c r="D138" s="147"/>
      <c r="E138" s="147"/>
      <c r="F138" s="148">
        <f>F119</f>
        <v>131.28858745183018</v>
      </c>
      <c r="G138" s="149"/>
    </row>
    <row r="139" spans="1:7">
      <c r="A139" s="147" t="s">
        <v>123</v>
      </c>
      <c r="B139" s="147"/>
      <c r="C139" s="147"/>
      <c r="D139" s="147"/>
      <c r="E139" s="147"/>
      <c r="F139" s="148">
        <f>F134</f>
        <v>1360.3229732879888</v>
      </c>
      <c r="G139" s="149"/>
    </row>
    <row r="140" spans="1:7">
      <c r="A140" s="150" t="s">
        <v>124</v>
      </c>
      <c r="B140" s="151"/>
      <c r="C140" s="151"/>
      <c r="D140" s="151"/>
      <c r="E140" s="151"/>
      <c r="F140" s="152">
        <f>SUM(F137:G139)</f>
        <v>1707.1825102375474</v>
      </c>
      <c r="G140" s="152"/>
    </row>
    <row r="141" spans="1:7">
      <c r="A141" s="149"/>
      <c r="B141" s="149"/>
      <c r="C141" s="149"/>
      <c r="D141" s="149"/>
      <c r="E141" s="149"/>
      <c r="F141" s="149"/>
      <c r="G141" s="149"/>
    </row>
    <row r="142" spans="1:7">
      <c r="A142" s="153" t="s">
        <v>125</v>
      </c>
      <c r="B142" s="153"/>
      <c r="C142" s="153"/>
      <c r="D142" s="153"/>
      <c r="E142" s="153"/>
      <c r="F142" s="153"/>
      <c r="G142" s="153"/>
    </row>
    <row r="143" spans="1:7">
      <c r="A143" s="154" t="s">
        <v>126</v>
      </c>
      <c r="B143" s="154"/>
      <c r="C143" s="154"/>
      <c r="D143" s="154"/>
      <c r="E143" s="154"/>
      <c r="F143" s="153" t="s">
        <v>48</v>
      </c>
      <c r="G143" s="155"/>
    </row>
    <row r="144" spans="1:7">
      <c r="A144" s="147" t="s">
        <v>127</v>
      </c>
      <c r="B144" s="147"/>
      <c r="C144" s="147"/>
      <c r="D144" s="147"/>
      <c r="E144" s="147"/>
      <c r="F144" s="148">
        <f>F39</f>
        <v>4128.6720024727274</v>
      </c>
      <c r="G144" s="149"/>
    </row>
    <row r="145" spans="1:7">
      <c r="A145" s="147" t="s">
        <v>128</v>
      </c>
      <c r="B145" s="147"/>
      <c r="C145" s="147"/>
      <c r="D145" s="147"/>
      <c r="E145" s="147"/>
      <c r="F145" s="148">
        <f>F50</f>
        <v>961.9248540000001</v>
      </c>
      <c r="G145" s="149"/>
    </row>
    <row r="146" spans="1:7">
      <c r="A146" s="147" t="s">
        <v>129</v>
      </c>
      <c r="B146" s="147"/>
      <c r="C146" s="147"/>
      <c r="D146" s="147"/>
      <c r="E146" s="147"/>
      <c r="F146" s="148">
        <f>F57</f>
        <v>116.70547351190478</v>
      </c>
      <c r="G146" s="149"/>
    </row>
    <row r="147" spans="1:7">
      <c r="A147" s="147" t="s">
        <v>130</v>
      </c>
      <c r="B147" s="147"/>
      <c r="C147" s="147"/>
      <c r="D147" s="147"/>
      <c r="E147" s="147"/>
      <c r="F147" s="148">
        <f>F111</f>
        <v>2631.6412881145852</v>
      </c>
      <c r="G147" s="149"/>
    </row>
    <row r="148" spans="1:7">
      <c r="A148" s="147" t="s">
        <v>131</v>
      </c>
      <c r="B148" s="147"/>
      <c r="C148" s="147"/>
      <c r="D148" s="147"/>
      <c r="E148" s="147"/>
      <c r="F148" s="148">
        <f>F140</f>
        <v>1707.1825102375474</v>
      </c>
      <c r="G148" s="149"/>
    </row>
    <row r="149" spans="1:7">
      <c r="A149" s="150" t="s">
        <v>132</v>
      </c>
      <c r="B149" s="151"/>
      <c r="C149" s="151"/>
      <c r="D149" s="151"/>
      <c r="E149" s="151"/>
      <c r="F149" s="152">
        <f>ROUND(SUM(F144:G148),2)</f>
        <v>9546.1299999999992</v>
      </c>
      <c r="G149" s="152"/>
    </row>
  </sheetData>
  <mergeCells count="263">
    <mergeCell ref="A148:E148"/>
    <mergeCell ref="F148:G148"/>
    <mergeCell ref="A149:E149"/>
    <mergeCell ref="F149:G149"/>
    <mergeCell ref="A145:E145"/>
    <mergeCell ref="F145:G145"/>
    <mergeCell ref="A146:E146"/>
    <mergeCell ref="F146:G146"/>
    <mergeCell ref="A147:E147"/>
    <mergeCell ref="F147:G147"/>
    <mergeCell ref="A141:G141"/>
    <mergeCell ref="A142:G142"/>
    <mergeCell ref="A143:E143"/>
    <mergeCell ref="F143:G143"/>
    <mergeCell ref="A144:E144"/>
    <mergeCell ref="F144:G144"/>
    <mergeCell ref="A138:E138"/>
    <mergeCell ref="F138:G138"/>
    <mergeCell ref="A139:E139"/>
    <mergeCell ref="F139:G139"/>
    <mergeCell ref="A140:E140"/>
    <mergeCell ref="F140:G140"/>
    <mergeCell ref="A134:E134"/>
    <mergeCell ref="F134:G134"/>
    <mergeCell ref="A135:G135"/>
    <mergeCell ref="A136:E136"/>
    <mergeCell ref="F136:G136"/>
    <mergeCell ref="A137:E137"/>
    <mergeCell ref="F137:G137"/>
    <mergeCell ref="A132:C132"/>
    <mergeCell ref="D132:E132"/>
    <mergeCell ref="F132:G132"/>
    <mergeCell ref="A133:C133"/>
    <mergeCell ref="D133:E133"/>
    <mergeCell ref="F133:G133"/>
    <mergeCell ref="A130:C130"/>
    <mergeCell ref="D130:E130"/>
    <mergeCell ref="F130:G130"/>
    <mergeCell ref="A131:C131"/>
    <mergeCell ref="D131:E131"/>
    <mergeCell ref="F131:G131"/>
    <mergeCell ref="A127:E127"/>
    <mergeCell ref="F127:G127"/>
    <mergeCell ref="A128:E128"/>
    <mergeCell ref="F128:G128"/>
    <mergeCell ref="A129:E129"/>
    <mergeCell ref="F129:G129"/>
    <mergeCell ref="A124:E124"/>
    <mergeCell ref="F124:G124"/>
    <mergeCell ref="A125:E125"/>
    <mergeCell ref="F125:G125"/>
    <mergeCell ref="A126:E126"/>
    <mergeCell ref="F126:G126"/>
    <mergeCell ref="A120:G120"/>
    <mergeCell ref="A121:E121"/>
    <mergeCell ref="F121:G121"/>
    <mergeCell ref="A122:E122"/>
    <mergeCell ref="F122:G122"/>
    <mergeCell ref="A123:E123"/>
    <mergeCell ref="F123:G123"/>
    <mergeCell ref="A116:D116"/>
    <mergeCell ref="F116:G116"/>
    <mergeCell ref="A117:G117"/>
    <mergeCell ref="A118:D118"/>
    <mergeCell ref="F118:G118"/>
    <mergeCell ref="A119:D119"/>
    <mergeCell ref="F119:G119"/>
    <mergeCell ref="A111:E111"/>
    <mergeCell ref="F111:G111"/>
    <mergeCell ref="A112:G112"/>
    <mergeCell ref="A113:G113"/>
    <mergeCell ref="A114:G114"/>
    <mergeCell ref="A115:D115"/>
    <mergeCell ref="F115:G115"/>
    <mergeCell ref="A108:E108"/>
    <mergeCell ref="F108:G108"/>
    <mergeCell ref="A109:E109"/>
    <mergeCell ref="F109:G109"/>
    <mergeCell ref="A110:E110"/>
    <mergeCell ref="F110:G110"/>
    <mergeCell ref="A105:E105"/>
    <mergeCell ref="F105:G105"/>
    <mergeCell ref="A106:E106"/>
    <mergeCell ref="F106:G106"/>
    <mergeCell ref="A107:E107"/>
    <mergeCell ref="F107:G107"/>
    <mergeCell ref="A101:E101"/>
    <mergeCell ref="F101:G101"/>
    <mergeCell ref="A102:E102"/>
    <mergeCell ref="F102:G102"/>
    <mergeCell ref="A103:G103"/>
    <mergeCell ref="A104:E104"/>
    <mergeCell ref="F104:G104"/>
    <mergeCell ref="A98:E98"/>
    <mergeCell ref="F98:G98"/>
    <mergeCell ref="A99:E99"/>
    <mergeCell ref="F99:G99"/>
    <mergeCell ref="A100:E100"/>
    <mergeCell ref="F100:G100"/>
    <mergeCell ref="A95:E95"/>
    <mergeCell ref="F95:G95"/>
    <mergeCell ref="A96:E96"/>
    <mergeCell ref="F96:G96"/>
    <mergeCell ref="A97:E97"/>
    <mergeCell ref="F97:G97"/>
    <mergeCell ref="A91:E91"/>
    <mergeCell ref="F91:G91"/>
    <mergeCell ref="A92:G92"/>
    <mergeCell ref="A93:E93"/>
    <mergeCell ref="F93:G93"/>
    <mergeCell ref="A94:E94"/>
    <mergeCell ref="F94:G94"/>
    <mergeCell ref="A88:E88"/>
    <mergeCell ref="F88:G88"/>
    <mergeCell ref="A89:E89"/>
    <mergeCell ref="F89:G89"/>
    <mergeCell ref="A90:E90"/>
    <mergeCell ref="F90:G90"/>
    <mergeCell ref="A85:E85"/>
    <mergeCell ref="F85:G85"/>
    <mergeCell ref="A86:E86"/>
    <mergeCell ref="F86:G86"/>
    <mergeCell ref="A87:E87"/>
    <mergeCell ref="F87:G87"/>
    <mergeCell ref="A81:E81"/>
    <mergeCell ref="F81:G81"/>
    <mergeCell ref="A82:E82"/>
    <mergeCell ref="F82:G82"/>
    <mergeCell ref="A83:G83"/>
    <mergeCell ref="A84:E84"/>
    <mergeCell ref="F84:G84"/>
    <mergeCell ref="A77:E77"/>
    <mergeCell ref="F77:G77"/>
    <mergeCell ref="A78:G78"/>
    <mergeCell ref="A79:E79"/>
    <mergeCell ref="F79:G79"/>
    <mergeCell ref="A80:E80"/>
    <mergeCell ref="F80:G80"/>
    <mergeCell ref="A74:E74"/>
    <mergeCell ref="F74:G74"/>
    <mergeCell ref="A75:E75"/>
    <mergeCell ref="F75:G75"/>
    <mergeCell ref="A76:E76"/>
    <mergeCell ref="F76:G76"/>
    <mergeCell ref="A70:D70"/>
    <mergeCell ref="F70:G70"/>
    <mergeCell ref="A71:G71"/>
    <mergeCell ref="A72:E72"/>
    <mergeCell ref="F72:G72"/>
    <mergeCell ref="A73:E73"/>
    <mergeCell ref="F73:G73"/>
    <mergeCell ref="A67:D67"/>
    <mergeCell ref="F67:G67"/>
    <mergeCell ref="A68:D68"/>
    <mergeCell ref="F68:G68"/>
    <mergeCell ref="A69:D69"/>
    <mergeCell ref="F69:G69"/>
    <mergeCell ref="A64:D64"/>
    <mergeCell ref="F64:G64"/>
    <mergeCell ref="A65:D65"/>
    <mergeCell ref="F65:G65"/>
    <mergeCell ref="A66:D66"/>
    <mergeCell ref="F66:G66"/>
    <mergeCell ref="A60:G60"/>
    <mergeCell ref="A61:D61"/>
    <mergeCell ref="F61:G61"/>
    <mergeCell ref="A62:D62"/>
    <mergeCell ref="F62:G62"/>
    <mergeCell ref="A63:D63"/>
    <mergeCell ref="F63:G63"/>
    <mergeCell ref="A56:E56"/>
    <mergeCell ref="F56:G56"/>
    <mergeCell ref="A57:E57"/>
    <mergeCell ref="F57:G57"/>
    <mergeCell ref="A58:G58"/>
    <mergeCell ref="A59:G59"/>
    <mergeCell ref="A53:E53"/>
    <mergeCell ref="F53:G53"/>
    <mergeCell ref="A54:E54"/>
    <mergeCell ref="F54:G54"/>
    <mergeCell ref="A55:E55"/>
    <mergeCell ref="F55:G55"/>
    <mergeCell ref="A48:E48"/>
    <mergeCell ref="F48:G48"/>
    <mergeCell ref="A50:E50"/>
    <mergeCell ref="F50:G50"/>
    <mergeCell ref="A51:G51"/>
    <mergeCell ref="A52:E52"/>
    <mergeCell ref="F52:G52"/>
    <mergeCell ref="A49:E49"/>
    <mergeCell ref="F49:G49"/>
    <mergeCell ref="A45:E45"/>
    <mergeCell ref="F45:G45"/>
    <mergeCell ref="A46:E46"/>
    <mergeCell ref="F46:G46"/>
    <mergeCell ref="A47:E47"/>
    <mergeCell ref="F47:G47"/>
    <mergeCell ref="A42:E42"/>
    <mergeCell ref="F42:G42"/>
    <mergeCell ref="A43:E43"/>
    <mergeCell ref="F43:G43"/>
    <mergeCell ref="A44:E44"/>
    <mergeCell ref="F44:G44"/>
    <mergeCell ref="A37:D37"/>
    <mergeCell ref="F37:G37"/>
    <mergeCell ref="A39:E39"/>
    <mergeCell ref="F39:G39"/>
    <mergeCell ref="A40:G40"/>
    <mergeCell ref="A41:G41"/>
    <mergeCell ref="A35:D35"/>
    <mergeCell ref="F35:G35"/>
    <mergeCell ref="A36:D36"/>
    <mergeCell ref="F36:G36"/>
    <mergeCell ref="A38:D38"/>
    <mergeCell ref="F38:G38"/>
    <mergeCell ref="A31:D31"/>
    <mergeCell ref="E31:G31"/>
    <mergeCell ref="A32:G32"/>
    <mergeCell ref="A33:G33"/>
    <mergeCell ref="A34:D34"/>
    <mergeCell ref="F34:G34"/>
    <mergeCell ref="A27:G27"/>
    <mergeCell ref="A28:D28"/>
    <mergeCell ref="E28:G28"/>
    <mergeCell ref="A29:D29"/>
    <mergeCell ref="E29:G29"/>
    <mergeCell ref="A30:D30"/>
    <mergeCell ref="E30:G30"/>
    <mergeCell ref="A23:G23"/>
    <mergeCell ref="A24:G24"/>
    <mergeCell ref="A25:D25"/>
    <mergeCell ref="E25:G25"/>
    <mergeCell ref="A26:D26"/>
    <mergeCell ref="E26:G26"/>
    <mergeCell ref="A19:D19"/>
    <mergeCell ref="E19:G19"/>
    <mergeCell ref="A20:D20"/>
    <mergeCell ref="E20:G20"/>
    <mergeCell ref="A21:G21"/>
    <mergeCell ref="A22:G22"/>
    <mergeCell ref="A16:D16"/>
    <mergeCell ref="E16:G16"/>
    <mergeCell ref="A17:D17"/>
    <mergeCell ref="E17:G17"/>
    <mergeCell ref="A18:D18"/>
    <mergeCell ref="E18:G18"/>
    <mergeCell ref="A12:G12"/>
    <mergeCell ref="A13:G13"/>
    <mergeCell ref="A14:D14"/>
    <mergeCell ref="E14:G14"/>
    <mergeCell ref="A15:D15"/>
    <mergeCell ref="E15:G15"/>
    <mergeCell ref="A6:G6"/>
    <mergeCell ref="A7:G7"/>
    <mergeCell ref="A8:G8"/>
    <mergeCell ref="A9:G9"/>
    <mergeCell ref="A10:G10"/>
    <mergeCell ref="A11:G11"/>
    <mergeCell ref="A1:G1"/>
    <mergeCell ref="B2:G2"/>
    <mergeCell ref="B3:G3"/>
    <mergeCell ref="B4:G4"/>
    <mergeCell ref="B5:G5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51"/>
  <sheetViews>
    <sheetView zoomScale="110" zoomScaleNormal="110" workbookViewId="0">
      <selection activeCell="B5" sqref="B5:G5"/>
    </sheetView>
  </sheetViews>
  <sheetFormatPr defaultRowHeight="15"/>
  <cols>
    <col min="1" max="1" width="14.140625" customWidth="1"/>
    <col min="2" max="2" width="13.7109375" customWidth="1"/>
    <col min="3" max="3" width="17.85546875" customWidth="1"/>
    <col min="4" max="4" width="31.28515625" customWidth="1"/>
    <col min="5" max="5" width="21.5703125" customWidth="1"/>
    <col min="6" max="6" width="7.28515625" customWidth="1"/>
    <col min="7" max="7" width="9" customWidth="1"/>
    <col min="8" max="8" width="13.140625" customWidth="1"/>
    <col min="9" max="9" width="9.42578125" bestFit="1" customWidth="1"/>
    <col min="10" max="10" width="9.7109375" bestFit="1" customWidth="1"/>
  </cols>
  <sheetData>
    <row r="1" spans="1:8" ht="18">
      <c r="A1" s="223" t="s">
        <v>27</v>
      </c>
      <c r="B1" s="223"/>
      <c r="C1" s="223"/>
      <c r="D1" s="223"/>
      <c r="E1" s="223"/>
      <c r="F1" s="223"/>
      <c r="G1" s="223"/>
    </row>
    <row r="2" spans="1:8">
      <c r="A2" s="19"/>
      <c r="B2" s="224" t="s">
        <v>0</v>
      </c>
      <c r="C2" s="224"/>
      <c r="D2" s="224"/>
      <c r="E2" s="224"/>
      <c r="F2" s="224"/>
      <c r="G2" s="224"/>
    </row>
    <row r="3" spans="1:8">
      <c r="A3" s="19"/>
      <c r="B3" s="224" t="s">
        <v>1</v>
      </c>
      <c r="C3" s="224"/>
      <c r="D3" s="224"/>
      <c r="E3" s="224"/>
      <c r="F3" s="224"/>
      <c r="G3" s="224"/>
    </row>
    <row r="4" spans="1:8">
      <c r="A4" s="19"/>
      <c r="B4" s="225" t="s">
        <v>2</v>
      </c>
      <c r="C4" s="224"/>
      <c r="D4" s="224"/>
      <c r="E4" s="224"/>
      <c r="F4" s="224"/>
      <c r="G4" s="224"/>
    </row>
    <row r="5" spans="1:8">
      <c r="A5" s="19"/>
      <c r="B5" s="224"/>
      <c r="C5" s="224"/>
      <c r="D5" s="224"/>
      <c r="E5" s="224"/>
      <c r="F5" s="224"/>
      <c r="G5" s="224"/>
      <c r="H5" s="20"/>
    </row>
    <row r="6" spans="1:8">
      <c r="A6" s="215" t="s">
        <v>27</v>
      </c>
      <c r="B6" s="215"/>
      <c r="C6" s="215"/>
      <c r="D6" s="215"/>
      <c r="E6" s="215"/>
      <c r="F6" s="215"/>
      <c r="G6" s="215"/>
    </row>
    <row r="7" spans="1:8">
      <c r="A7" s="218"/>
      <c r="B7" s="219"/>
      <c r="C7" s="219"/>
      <c r="D7" s="219"/>
      <c r="E7" s="219"/>
      <c r="F7" s="219"/>
      <c r="G7" s="220"/>
    </row>
    <row r="8" spans="1:8">
      <c r="A8" s="226" t="str">
        <f>'Vigilante 12X36 SEDE DIURNO'!A8:G8</f>
        <v>Nº do Processo: 0004539-81.2025.6.07.8100</v>
      </c>
      <c r="B8" s="227"/>
      <c r="C8" s="227"/>
      <c r="D8" s="227"/>
      <c r="E8" s="227"/>
      <c r="F8" s="227"/>
      <c r="G8" s="228"/>
    </row>
    <row r="9" spans="1:8">
      <c r="A9" s="226" t="str">
        <f>'Vigilante 12X36 SEDE DIURNO'!A9:G9</f>
        <v>Licitação nº XXX/2026</v>
      </c>
      <c r="B9" s="227"/>
      <c r="C9" s="227"/>
      <c r="D9" s="227"/>
      <c r="E9" s="227"/>
      <c r="F9" s="227"/>
      <c r="G9" s="228"/>
    </row>
    <row r="10" spans="1:8">
      <c r="A10" s="226" t="str">
        <f>'Vigilante 12X36 SEDE DIURNO'!A10:G10</f>
        <v xml:space="preserve">Proposta da Licitação: id. </v>
      </c>
      <c r="B10" s="227"/>
      <c r="C10" s="227"/>
      <c r="D10" s="227"/>
      <c r="E10" s="227"/>
      <c r="F10" s="227"/>
      <c r="G10" s="228"/>
    </row>
    <row r="11" spans="1:8">
      <c r="A11" s="229"/>
      <c r="B11" s="215"/>
      <c r="C11" s="215"/>
      <c r="D11" s="215"/>
      <c r="E11" s="215"/>
      <c r="F11" s="215"/>
      <c r="G11" s="215"/>
    </row>
    <row r="12" spans="1:8">
      <c r="A12" s="215" t="s">
        <v>28</v>
      </c>
      <c r="B12" s="215"/>
      <c r="C12" s="215"/>
      <c r="D12" s="215"/>
      <c r="E12" s="215"/>
      <c r="F12" s="215"/>
      <c r="G12" s="215"/>
    </row>
    <row r="13" spans="1:8">
      <c r="A13" s="230"/>
      <c r="B13" s="230"/>
      <c r="C13" s="230"/>
      <c r="D13" s="230"/>
      <c r="E13" s="230"/>
      <c r="F13" s="230"/>
      <c r="G13" s="230"/>
    </row>
    <row r="14" spans="1:8">
      <c r="A14" s="222" t="s">
        <v>29</v>
      </c>
      <c r="B14" s="222"/>
      <c r="C14" s="222"/>
      <c r="D14" s="222"/>
      <c r="E14" s="215"/>
      <c r="F14" s="215"/>
      <c r="G14" s="215"/>
    </row>
    <row r="15" spans="1:8">
      <c r="A15" s="222" t="s">
        <v>30</v>
      </c>
      <c r="B15" s="222"/>
      <c r="C15" s="222"/>
      <c r="D15" s="222"/>
      <c r="E15" s="215" t="s">
        <v>31</v>
      </c>
      <c r="F15" s="215"/>
      <c r="G15" s="215"/>
    </row>
    <row r="16" spans="1:8">
      <c r="A16" s="222" t="s">
        <v>32</v>
      </c>
      <c r="B16" s="222"/>
      <c r="C16" s="222"/>
      <c r="D16" s="222"/>
      <c r="E16" s="215" t="s">
        <v>174</v>
      </c>
      <c r="F16" s="215"/>
      <c r="G16" s="215"/>
    </row>
    <row r="17" spans="1:8">
      <c r="A17" s="222" t="s">
        <v>33</v>
      </c>
      <c r="B17" s="222"/>
      <c r="C17" s="222"/>
      <c r="D17" s="222"/>
      <c r="E17" s="221" t="s">
        <v>133</v>
      </c>
      <c r="F17" s="221"/>
      <c r="G17" s="221"/>
    </row>
    <row r="18" spans="1:8">
      <c r="A18" s="222" t="s">
        <v>34</v>
      </c>
      <c r="B18" s="222"/>
      <c r="C18" s="222"/>
      <c r="D18" s="222"/>
      <c r="E18" s="215" t="s">
        <v>35</v>
      </c>
      <c r="F18" s="215"/>
      <c r="G18" s="215"/>
    </row>
    <row r="19" spans="1:8">
      <c r="A19" s="222" t="s">
        <v>36</v>
      </c>
      <c r="B19" s="222"/>
      <c r="C19" s="222"/>
      <c r="D19" s="222"/>
      <c r="E19" s="215">
        <v>2</v>
      </c>
      <c r="F19" s="215"/>
      <c r="G19" s="215"/>
    </row>
    <row r="20" spans="1:8">
      <c r="A20" s="222" t="s">
        <v>37</v>
      </c>
      <c r="B20" s="222"/>
      <c r="C20" s="222"/>
      <c r="D20" s="222"/>
      <c r="E20" s="215">
        <v>12</v>
      </c>
      <c r="F20" s="215"/>
      <c r="G20" s="215"/>
    </row>
    <row r="21" spans="1:8">
      <c r="A21" s="217"/>
      <c r="B21" s="217"/>
      <c r="C21" s="217"/>
      <c r="D21" s="217"/>
      <c r="E21" s="217"/>
      <c r="F21" s="217"/>
      <c r="G21" s="217"/>
    </row>
    <row r="22" spans="1:8">
      <c r="A22" s="217" t="s">
        <v>38</v>
      </c>
      <c r="B22" s="217"/>
      <c r="C22" s="217"/>
      <c r="D22" s="217"/>
      <c r="E22" s="217"/>
      <c r="F22" s="217"/>
      <c r="G22" s="217"/>
    </row>
    <row r="23" spans="1:8">
      <c r="A23" s="218"/>
      <c r="B23" s="219"/>
      <c r="C23" s="219"/>
      <c r="D23" s="219"/>
      <c r="E23" s="219"/>
      <c r="F23" s="219"/>
      <c r="G23" s="220"/>
    </row>
    <row r="24" spans="1:8">
      <c r="A24" s="221" t="s">
        <v>39</v>
      </c>
      <c r="B24" s="221"/>
      <c r="C24" s="221"/>
      <c r="D24" s="221"/>
      <c r="E24" s="221"/>
      <c r="F24" s="221"/>
      <c r="G24" s="221"/>
    </row>
    <row r="25" spans="1:8">
      <c r="A25" s="215"/>
      <c r="B25" s="215"/>
      <c r="C25" s="215"/>
      <c r="D25" s="215"/>
      <c r="E25" s="215" t="s">
        <v>40</v>
      </c>
      <c r="F25" s="215"/>
      <c r="G25" s="215"/>
    </row>
    <row r="26" spans="1:8">
      <c r="A26" s="147" t="s">
        <v>172</v>
      </c>
      <c r="B26" s="150"/>
      <c r="C26" s="150"/>
      <c r="D26" s="150"/>
      <c r="E26" s="215">
        <v>2</v>
      </c>
      <c r="F26" s="215"/>
      <c r="G26" s="215"/>
    </row>
    <row r="27" spans="1:8">
      <c r="A27" s="153"/>
      <c r="B27" s="153"/>
      <c r="C27" s="153"/>
      <c r="D27" s="153"/>
      <c r="E27" s="153"/>
      <c r="F27" s="153"/>
      <c r="G27" s="153"/>
    </row>
    <row r="28" spans="1:8">
      <c r="A28" s="147" t="s">
        <v>41</v>
      </c>
      <c r="B28" s="147"/>
      <c r="C28" s="147"/>
      <c r="D28" s="147"/>
      <c r="E28" s="216" t="s">
        <v>134</v>
      </c>
      <c r="F28" s="216"/>
      <c r="G28" s="216"/>
    </row>
    <row r="29" spans="1:8">
      <c r="A29" s="147" t="s">
        <v>42</v>
      </c>
      <c r="B29" s="147"/>
      <c r="C29" s="147"/>
      <c r="D29" s="147"/>
      <c r="E29" s="207">
        <v>2859.58</v>
      </c>
      <c r="F29" s="207"/>
      <c r="G29" s="207"/>
      <c r="H29" s="48"/>
    </row>
    <row r="30" spans="1:8">
      <c r="A30" s="147" t="s">
        <v>43</v>
      </c>
      <c r="B30" s="147"/>
      <c r="C30" s="147"/>
      <c r="D30" s="147"/>
      <c r="E30" s="149" t="s">
        <v>135</v>
      </c>
      <c r="F30" s="149"/>
      <c r="G30" s="149"/>
    </row>
    <row r="31" spans="1:8">
      <c r="A31" s="147" t="s">
        <v>44</v>
      </c>
      <c r="B31" s="147"/>
      <c r="C31" s="147"/>
      <c r="D31" s="147"/>
      <c r="E31" s="214">
        <v>46023</v>
      </c>
      <c r="F31" s="149"/>
      <c r="G31" s="149"/>
    </row>
    <row r="32" spans="1:8">
      <c r="A32" s="211"/>
      <c r="B32" s="212"/>
      <c r="C32" s="212"/>
      <c r="D32" s="212"/>
      <c r="E32" s="212"/>
      <c r="F32" s="212"/>
      <c r="G32" s="213"/>
    </row>
    <row r="33" spans="1:9">
      <c r="A33" s="153" t="s">
        <v>45</v>
      </c>
      <c r="B33" s="153"/>
      <c r="C33" s="153"/>
      <c r="D33" s="153"/>
      <c r="E33" s="153"/>
      <c r="F33" s="153"/>
      <c r="G33" s="153"/>
    </row>
    <row r="34" spans="1:9">
      <c r="A34" s="180" t="s">
        <v>46</v>
      </c>
      <c r="B34" s="181"/>
      <c r="C34" s="181"/>
      <c r="D34" s="181"/>
      <c r="E34" s="21" t="s">
        <v>47</v>
      </c>
      <c r="F34" s="153" t="s">
        <v>48</v>
      </c>
      <c r="G34" s="155"/>
    </row>
    <row r="35" spans="1:9">
      <c r="A35" s="147" t="s">
        <v>49</v>
      </c>
      <c r="B35" s="147"/>
      <c r="C35" s="147"/>
      <c r="D35" s="147"/>
      <c r="E35" s="22"/>
      <c r="F35" s="207">
        <v>2859.58</v>
      </c>
      <c r="G35" s="207"/>
    </row>
    <row r="36" spans="1:9">
      <c r="A36" s="147" t="s">
        <v>50</v>
      </c>
      <c r="B36" s="147"/>
      <c r="C36" s="147"/>
      <c r="D36" s="147"/>
      <c r="E36" s="23">
        <v>30</v>
      </c>
      <c r="F36" s="207">
        <f>F35*30%</f>
        <v>857.87399999999991</v>
      </c>
      <c r="G36" s="207"/>
    </row>
    <row r="37" spans="1:9">
      <c r="A37" s="147" t="s">
        <v>159</v>
      </c>
      <c r="B37" s="147"/>
      <c r="C37" s="147"/>
      <c r="D37" s="147"/>
      <c r="E37" s="22"/>
      <c r="F37" s="207">
        <f>E37*F35</f>
        <v>0</v>
      </c>
      <c r="G37" s="207"/>
    </row>
    <row r="38" spans="1:9">
      <c r="A38" s="210" t="s">
        <v>51</v>
      </c>
      <c r="B38" s="210"/>
      <c r="C38" s="210"/>
      <c r="D38" s="210"/>
      <c r="E38" s="210"/>
      <c r="F38" s="179">
        <f>SUM(F35:G37)</f>
        <v>3717.4539999999997</v>
      </c>
      <c r="G38" s="179"/>
    </row>
    <row r="39" spans="1:9">
      <c r="A39" s="200"/>
      <c r="B39" s="201"/>
      <c r="C39" s="201"/>
      <c r="D39" s="201"/>
      <c r="E39" s="201"/>
      <c r="F39" s="201"/>
      <c r="G39" s="202"/>
    </row>
    <row r="40" spans="1:9">
      <c r="A40" s="153" t="s">
        <v>178</v>
      </c>
      <c r="B40" s="153"/>
      <c r="C40" s="153"/>
      <c r="D40" s="153"/>
      <c r="E40" s="153"/>
      <c r="F40" s="153"/>
      <c r="G40" s="153"/>
    </row>
    <row r="41" spans="1:9">
      <c r="A41" s="180" t="s">
        <v>52</v>
      </c>
      <c r="B41" s="181"/>
      <c r="C41" s="181"/>
      <c r="D41" s="181"/>
      <c r="E41" s="182"/>
      <c r="F41" s="153" t="s">
        <v>48</v>
      </c>
      <c r="G41" s="155"/>
      <c r="I41" s="3"/>
    </row>
    <row r="42" spans="1:9">
      <c r="A42" s="189" t="s">
        <v>173</v>
      </c>
      <c r="B42" s="190"/>
      <c r="C42" s="190"/>
      <c r="D42" s="190"/>
      <c r="E42" s="191"/>
      <c r="F42" s="207">
        <f>(22*5.5*2)-(F35*0.06)</f>
        <v>70.425200000000018</v>
      </c>
      <c r="G42" s="207"/>
    </row>
    <row r="43" spans="1:9">
      <c r="A43" s="174" t="s">
        <v>176</v>
      </c>
      <c r="B43" s="175"/>
      <c r="C43" s="175"/>
      <c r="D43" s="175"/>
      <c r="E43" s="176"/>
      <c r="F43" s="207">
        <f>(49.63*22)-(22*49.63*0.02)</f>
        <v>1070.0228000000002</v>
      </c>
      <c r="G43" s="207"/>
    </row>
    <row r="44" spans="1:9">
      <c r="A44" s="174" t="s">
        <v>184</v>
      </c>
      <c r="B44" s="175"/>
      <c r="C44" s="175"/>
      <c r="D44" s="175"/>
      <c r="E44" s="176"/>
      <c r="F44" s="207">
        <v>171.87</v>
      </c>
      <c r="G44" s="207"/>
    </row>
    <row r="45" spans="1:9" ht="15" customHeight="1">
      <c r="A45" s="189" t="s">
        <v>185</v>
      </c>
      <c r="B45" s="190"/>
      <c r="C45" s="190"/>
      <c r="D45" s="190"/>
      <c r="E45" s="191"/>
      <c r="F45" s="208">
        <v>19.899999999999999</v>
      </c>
      <c r="G45" s="208"/>
    </row>
    <row r="46" spans="1:9" ht="15" customHeight="1">
      <c r="A46" s="171" t="s">
        <v>205</v>
      </c>
      <c r="B46" s="172"/>
      <c r="C46" s="172"/>
      <c r="D46" s="172"/>
      <c r="E46" s="173"/>
      <c r="F46" s="207">
        <v>11.34</v>
      </c>
      <c r="G46" s="207"/>
      <c r="H46" s="3"/>
    </row>
    <row r="47" spans="1:9" ht="15" customHeight="1">
      <c r="A47" s="171" t="s">
        <v>177</v>
      </c>
      <c r="B47" s="172"/>
      <c r="C47" s="172"/>
      <c r="D47" s="172"/>
      <c r="E47" s="173"/>
      <c r="F47" s="205">
        <v>19.04</v>
      </c>
      <c r="G47" s="206"/>
      <c r="H47" s="3"/>
    </row>
    <row r="48" spans="1:9" ht="15" customHeight="1">
      <c r="A48" s="171" t="s">
        <v>207</v>
      </c>
      <c r="B48" s="172"/>
      <c r="C48" s="172"/>
      <c r="D48" s="172"/>
      <c r="E48" s="173"/>
      <c r="F48" s="203">
        <v>0</v>
      </c>
      <c r="G48" s="204"/>
      <c r="H48" s="3"/>
    </row>
    <row r="49" spans="1:7">
      <c r="A49" s="150" t="s">
        <v>53</v>
      </c>
      <c r="B49" s="150"/>
      <c r="C49" s="150"/>
      <c r="D49" s="150"/>
      <c r="E49" s="150"/>
      <c r="F49" s="152">
        <f>SUM(F42:G47)</f>
        <v>1362.5980000000002</v>
      </c>
      <c r="G49" s="152"/>
    </row>
    <row r="50" spans="1:7">
      <c r="A50" s="153" t="s">
        <v>54</v>
      </c>
      <c r="B50" s="153"/>
      <c r="C50" s="153"/>
      <c r="D50" s="153"/>
      <c r="E50" s="153"/>
      <c r="F50" s="153"/>
      <c r="G50" s="153"/>
    </row>
    <row r="51" spans="1:7">
      <c r="A51" s="186" t="s">
        <v>179</v>
      </c>
      <c r="B51" s="187"/>
      <c r="C51" s="187"/>
      <c r="D51" s="187"/>
      <c r="E51" s="188"/>
      <c r="F51" s="153" t="s">
        <v>48</v>
      </c>
      <c r="G51" s="155"/>
    </row>
    <row r="52" spans="1:7">
      <c r="A52" s="147" t="s">
        <v>55</v>
      </c>
      <c r="B52" s="147"/>
      <c r="C52" s="147"/>
      <c r="D52" s="147"/>
      <c r="E52" s="147"/>
      <c r="F52" s="207">
        <f>Uniforme!H17</f>
        <v>57.495000000000005</v>
      </c>
      <c r="G52" s="207"/>
    </row>
    <row r="53" spans="1:7">
      <c r="A53" s="189" t="s">
        <v>56</v>
      </c>
      <c r="B53" s="190"/>
      <c r="C53" s="190"/>
      <c r="D53" s="190"/>
      <c r="E53" s="191"/>
      <c r="F53" s="205">
        <f>Equipamentos!J18</f>
        <v>46.299699702380956</v>
      </c>
      <c r="G53" s="206"/>
    </row>
    <row r="54" spans="1:7">
      <c r="A54" s="174" t="s">
        <v>57</v>
      </c>
      <c r="B54" s="175"/>
      <c r="C54" s="175"/>
      <c r="D54" s="175"/>
      <c r="E54" s="176"/>
      <c r="F54" s="205">
        <f>Material!I18</f>
        <v>12.91077380952381</v>
      </c>
      <c r="G54" s="206"/>
    </row>
    <row r="55" spans="1:7">
      <c r="A55" s="174" t="s">
        <v>138</v>
      </c>
      <c r="B55" s="175"/>
      <c r="C55" s="175"/>
      <c r="D55" s="175"/>
      <c r="E55" s="176"/>
      <c r="F55" s="205"/>
      <c r="G55" s="206"/>
    </row>
    <row r="56" spans="1:7">
      <c r="A56" s="150" t="s">
        <v>58</v>
      </c>
      <c r="B56" s="151"/>
      <c r="C56" s="151"/>
      <c r="D56" s="151"/>
      <c r="E56" s="151"/>
      <c r="F56" s="152">
        <f>SUM(F52:G55)</f>
        <v>116.70547351190478</v>
      </c>
      <c r="G56" s="152"/>
    </row>
    <row r="57" spans="1:7">
      <c r="A57" s="200"/>
      <c r="B57" s="201"/>
      <c r="C57" s="201"/>
      <c r="D57" s="201"/>
      <c r="E57" s="201"/>
      <c r="F57" s="201"/>
      <c r="G57" s="202"/>
    </row>
    <row r="58" spans="1:7">
      <c r="A58" s="153" t="s">
        <v>59</v>
      </c>
      <c r="B58" s="153"/>
      <c r="C58" s="153"/>
      <c r="D58" s="153"/>
      <c r="E58" s="153"/>
      <c r="F58" s="153"/>
      <c r="G58" s="153"/>
    </row>
    <row r="59" spans="1:7">
      <c r="A59" s="153" t="s">
        <v>60</v>
      </c>
      <c r="B59" s="153"/>
      <c r="C59" s="153"/>
      <c r="D59" s="153"/>
      <c r="E59" s="153"/>
      <c r="F59" s="153"/>
      <c r="G59" s="153"/>
    </row>
    <row r="60" spans="1:7">
      <c r="A60" s="154" t="s">
        <v>61</v>
      </c>
      <c r="B60" s="154"/>
      <c r="C60" s="154"/>
      <c r="D60" s="154"/>
      <c r="E60" s="25" t="s">
        <v>62</v>
      </c>
      <c r="F60" s="153" t="s">
        <v>48</v>
      </c>
      <c r="G60" s="155"/>
    </row>
    <row r="61" spans="1:7">
      <c r="A61" s="198" t="s">
        <v>63</v>
      </c>
      <c r="B61" s="198"/>
      <c r="C61" s="198"/>
      <c r="D61" s="198"/>
      <c r="E61" s="26">
        <v>0.2</v>
      </c>
      <c r="F61" s="170">
        <f>E61*F38</f>
        <v>743.49080000000004</v>
      </c>
      <c r="G61" s="170"/>
    </row>
    <row r="62" spans="1:7">
      <c r="A62" s="198" t="s">
        <v>64</v>
      </c>
      <c r="B62" s="198"/>
      <c r="C62" s="198"/>
      <c r="D62" s="198"/>
      <c r="E62" s="26">
        <v>1.4999999999999999E-2</v>
      </c>
      <c r="F62" s="170">
        <f>E62*F38</f>
        <v>55.761809999999997</v>
      </c>
      <c r="G62" s="170"/>
    </row>
    <row r="63" spans="1:7">
      <c r="A63" s="198" t="s">
        <v>65</v>
      </c>
      <c r="B63" s="198"/>
      <c r="C63" s="198"/>
      <c r="D63" s="198"/>
      <c r="E63" s="26">
        <v>0.01</v>
      </c>
      <c r="F63" s="170">
        <f>E63*F38</f>
        <v>37.17454</v>
      </c>
      <c r="G63" s="170"/>
    </row>
    <row r="64" spans="1:7">
      <c r="A64" s="198" t="s">
        <v>66</v>
      </c>
      <c r="B64" s="198"/>
      <c r="C64" s="198"/>
      <c r="D64" s="198"/>
      <c r="E64" s="26">
        <v>2E-3</v>
      </c>
      <c r="F64" s="170">
        <f>E64*F38</f>
        <v>7.4349079999999992</v>
      </c>
      <c r="G64" s="170"/>
    </row>
    <row r="65" spans="1:7">
      <c r="A65" s="198" t="s">
        <v>67</v>
      </c>
      <c r="B65" s="198"/>
      <c r="C65" s="198"/>
      <c r="D65" s="198"/>
      <c r="E65" s="26">
        <v>2.5000000000000001E-2</v>
      </c>
      <c r="F65" s="170">
        <f>E65*F38</f>
        <v>92.936350000000004</v>
      </c>
      <c r="G65" s="170"/>
    </row>
    <row r="66" spans="1:7">
      <c r="A66" s="198" t="s">
        <v>68</v>
      </c>
      <c r="B66" s="198"/>
      <c r="C66" s="198"/>
      <c r="D66" s="198"/>
      <c r="E66" s="26">
        <v>0.08</v>
      </c>
      <c r="F66" s="170">
        <f>E66*F38</f>
        <v>297.39632</v>
      </c>
      <c r="G66" s="170"/>
    </row>
    <row r="67" spans="1:7">
      <c r="A67" s="199" t="s">
        <v>69</v>
      </c>
      <c r="B67" s="199"/>
      <c r="C67" s="199"/>
      <c r="D67" s="199"/>
      <c r="E67" s="102">
        <v>0.03</v>
      </c>
      <c r="F67" s="170">
        <f>E67*F38</f>
        <v>111.52361999999999</v>
      </c>
      <c r="G67" s="170"/>
    </row>
    <row r="68" spans="1:7">
      <c r="A68" s="198" t="s">
        <v>70</v>
      </c>
      <c r="B68" s="198"/>
      <c r="C68" s="198"/>
      <c r="D68" s="198"/>
      <c r="E68" s="26">
        <v>6.0000000000000001E-3</v>
      </c>
      <c r="F68" s="170">
        <f>E68*F38</f>
        <v>22.304724</v>
      </c>
      <c r="G68" s="170"/>
    </row>
    <row r="69" spans="1:7">
      <c r="A69" s="150" t="s">
        <v>71</v>
      </c>
      <c r="B69" s="150"/>
      <c r="C69" s="150"/>
      <c r="D69" s="150"/>
      <c r="E69" s="27">
        <f>SUM(E61:E68)</f>
        <v>0.3680000000000001</v>
      </c>
      <c r="F69" s="152">
        <f>SUM(F61:G68)</f>
        <v>1368.023072</v>
      </c>
      <c r="G69" s="152"/>
    </row>
    <row r="70" spans="1:7">
      <c r="A70" s="153" t="s">
        <v>72</v>
      </c>
      <c r="B70" s="153"/>
      <c r="C70" s="153"/>
      <c r="D70" s="153"/>
      <c r="E70" s="153"/>
      <c r="F70" s="153"/>
      <c r="G70" s="153"/>
    </row>
    <row r="71" spans="1:7">
      <c r="A71" s="180" t="s">
        <v>73</v>
      </c>
      <c r="B71" s="181"/>
      <c r="C71" s="181"/>
      <c r="D71" s="181"/>
      <c r="E71" s="182"/>
      <c r="F71" s="153" t="s">
        <v>48</v>
      </c>
      <c r="G71" s="155"/>
    </row>
    <row r="72" spans="1:7">
      <c r="A72" s="189" t="s">
        <v>74</v>
      </c>
      <c r="B72" s="190"/>
      <c r="C72" s="190"/>
      <c r="D72" s="190"/>
      <c r="E72" s="191"/>
      <c r="F72" s="170">
        <f>F38/12</f>
        <v>309.78783333333331</v>
      </c>
      <c r="G72" s="170"/>
    </row>
    <row r="73" spans="1:7">
      <c r="A73" s="192" t="s">
        <v>75</v>
      </c>
      <c r="B73" s="193"/>
      <c r="C73" s="193"/>
      <c r="D73" s="193"/>
      <c r="E73" s="194"/>
      <c r="F73" s="170">
        <f>F38/3/12</f>
        <v>103.2626111111111</v>
      </c>
      <c r="G73" s="170"/>
    </row>
    <row r="74" spans="1:7">
      <c r="A74" s="195" t="s">
        <v>211</v>
      </c>
      <c r="B74" s="196"/>
      <c r="C74" s="196"/>
      <c r="D74" s="196"/>
      <c r="E74" s="197"/>
      <c r="F74" s="152">
        <f>SUM(F72:G73)</f>
        <v>413.05044444444439</v>
      </c>
      <c r="G74" s="152"/>
    </row>
    <row r="75" spans="1:7">
      <c r="A75" s="174" t="s">
        <v>77</v>
      </c>
      <c r="B75" s="175"/>
      <c r="C75" s="175"/>
      <c r="D75" s="175"/>
      <c r="E75" s="176"/>
      <c r="F75" s="170">
        <f>F74*E69</f>
        <v>152.00256355555558</v>
      </c>
      <c r="G75" s="170"/>
    </row>
    <row r="76" spans="1:7">
      <c r="A76" s="150" t="s">
        <v>78</v>
      </c>
      <c r="B76" s="150"/>
      <c r="C76" s="150"/>
      <c r="D76" s="150"/>
      <c r="E76" s="150"/>
      <c r="F76" s="152">
        <f>SUM(F72,F73,F75)</f>
        <v>565.05300799999998</v>
      </c>
      <c r="G76" s="152"/>
    </row>
    <row r="77" spans="1:7">
      <c r="A77" s="153" t="s">
        <v>79</v>
      </c>
      <c r="B77" s="153"/>
      <c r="C77" s="153"/>
      <c r="D77" s="153"/>
      <c r="E77" s="153"/>
      <c r="F77" s="153"/>
      <c r="G77" s="153"/>
    </row>
    <row r="78" spans="1:7" ht="18" customHeight="1">
      <c r="A78" s="186" t="s">
        <v>80</v>
      </c>
      <c r="B78" s="187"/>
      <c r="C78" s="187"/>
      <c r="D78" s="187"/>
      <c r="E78" s="188"/>
      <c r="F78" s="153" t="s">
        <v>48</v>
      </c>
      <c r="G78" s="155"/>
    </row>
    <row r="79" spans="1:7" ht="24.75" customHeight="1">
      <c r="A79" s="171" t="s">
        <v>165</v>
      </c>
      <c r="B79" s="172"/>
      <c r="C79" s="172"/>
      <c r="D79" s="172"/>
      <c r="E79" s="173"/>
      <c r="F79" s="170">
        <f>(F38/3+F38)*0.333/12*0.01</f>
        <v>1.37545798</v>
      </c>
      <c r="G79" s="170"/>
    </row>
    <row r="80" spans="1:7">
      <c r="A80" s="147" t="s">
        <v>81</v>
      </c>
      <c r="B80" s="147"/>
      <c r="C80" s="147"/>
      <c r="D80" s="147"/>
      <c r="E80" s="147"/>
      <c r="F80" s="170">
        <f>E69*F79</f>
        <v>0.50616853664000017</v>
      </c>
      <c r="G80" s="170"/>
    </row>
    <row r="81" spans="1:10">
      <c r="A81" s="150" t="s">
        <v>82</v>
      </c>
      <c r="B81" s="150"/>
      <c r="C81" s="150"/>
      <c r="D81" s="150"/>
      <c r="E81" s="150"/>
      <c r="F81" s="152">
        <f>SUM(F79:G80)</f>
        <v>1.8816265166400001</v>
      </c>
      <c r="G81" s="152"/>
      <c r="H81" s="28"/>
    </row>
    <row r="82" spans="1:10">
      <c r="A82" s="153" t="s">
        <v>83</v>
      </c>
      <c r="B82" s="153"/>
      <c r="C82" s="153"/>
      <c r="D82" s="153"/>
      <c r="E82" s="153"/>
      <c r="F82" s="153"/>
      <c r="G82" s="153"/>
    </row>
    <row r="83" spans="1:10">
      <c r="A83" s="180" t="s">
        <v>84</v>
      </c>
      <c r="B83" s="181"/>
      <c r="C83" s="181"/>
      <c r="D83" s="181"/>
      <c r="E83" s="182"/>
      <c r="F83" s="153" t="s">
        <v>48</v>
      </c>
      <c r="G83" s="155"/>
    </row>
    <row r="84" spans="1:10">
      <c r="A84" s="171" t="s">
        <v>166</v>
      </c>
      <c r="B84" s="172"/>
      <c r="C84" s="172"/>
      <c r="D84" s="172"/>
      <c r="E84" s="173"/>
      <c r="F84" s="170">
        <f>(F38/12)*0.01</f>
        <v>3.0978783333333331</v>
      </c>
      <c r="G84" s="170"/>
    </row>
    <row r="85" spans="1:10">
      <c r="A85" s="147" t="s">
        <v>85</v>
      </c>
      <c r="B85" s="147"/>
      <c r="C85" s="147"/>
      <c r="D85" s="147"/>
      <c r="E85" s="147"/>
      <c r="F85" s="185">
        <f>F84*E66</f>
        <v>0.24783026666666666</v>
      </c>
      <c r="G85" s="170"/>
    </row>
    <row r="86" spans="1:10">
      <c r="A86" s="171" t="s">
        <v>86</v>
      </c>
      <c r="B86" s="172"/>
      <c r="C86" s="172"/>
      <c r="D86" s="172"/>
      <c r="E86" s="173"/>
      <c r="F86" s="170">
        <f>F85*0.4</f>
        <v>9.9132106666666664E-2</v>
      </c>
      <c r="G86" s="170"/>
      <c r="J86" s="29"/>
    </row>
    <row r="87" spans="1:10" ht="12.75" customHeight="1">
      <c r="A87" s="171" t="s">
        <v>212</v>
      </c>
      <c r="B87" s="172"/>
      <c r="C87" s="172"/>
      <c r="D87" s="172"/>
      <c r="E87" s="173"/>
      <c r="F87" s="170">
        <f>(F38/30)*0.7/12</f>
        <v>7.2283827777777772</v>
      </c>
      <c r="G87" s="170"/>
      <c r="H87" s="42"/>
    </row>
    <row r="88" spans="1:10">
      <c r="A88" s="147" t="s">
        <v>87</v>
      </c>
      <c r="B88" s="147"/>
      <c r="C88" s="147"/>
      <c r="D88" s="147"/>
      <c r="E88" s="147"/>
      <c r="F88" s="185">
        <f>F87*E69</f>
        <v>2.6600448622222226</v>
      </c>
      <c r="G88" s="170"/>
    </row>
    <row r="89" spans="1:10">
      <c r="A89" s="171" t="s">
        <v>88</v>
      </c>
      <c r="B89" s="172"/>
      <c r="C89" s="172"/>
      <c r="D89" s="172"/>
      <c r="E89" s="173"/>
      <c r="F89" s="170">
        <f>(F38*E66)*0.4</f>
        <v>118.958528</v>
      </c>
      <c r="G89" s="170"/>
    </row>
    <row r="90" spans="1:10">
      <c r="A90" s="150" t="s">
        <v>89</v>
      </c>
      <c r="B90" s="150"/>
      <c r="C90" s="150"/>
      <c r="D90" s="150"/>
      <c r="E90" s="150"/>
      <c r="F90" s="179">
        <f>SUM(F84:F89)</f>
        <v>132.29179634666667</v>
      </c>
      <c r="G90" s="179"/>
      <c r="H90" s="28"/>
    </row>
    <row r="91" spans="1:10">
      <c r="A91" s="180" t="s">
        <v>90</v>
      </c>
      <c r="B91" s="181"/>
      <c r="C91" s="181"/>
      <c r="D91" s="181"/>
      <c r="E91" s="181"/>
      <c r="F91" s="181"/>
      <c r="G91" s="182"/>
    </row>
    <row r="92" spans="1:10">
      <c r="A92" s="180" t="s">
        <v>91</v>
      </c>
      <c r="B92" s="181"/>
      <c r="C92" s="181"/>
      <c r="D92" s="181"/>
      <c r="E92" s="182"/>
      <c r="F92" s="180" t="s">
        <v>48</v>
      </c>
      <c r="G92" s="183"/>
    </row>
    <row r="93" spans="1:10">
      <c r="A93" s="171" t="s">
        <v>92</v>
      </c>
      <c r="B93" s="172"/>
      <c r="C93" s="172"/>
      <c r="D93" s="172"/>
      <c r="E93" s="173"/>
      <c r="F93" s="170">
        <f>F38/12</f>
        <v>309.78783333333331</v>
      </c>
      <c r="G93" s="170"/>
    </row>
    <row r="94" spans="1:10" ht="16.5" customHeight="1">
      <c r="A94" s="171" t="s">
        <v>167</v>
      </c>
      <c r="B94" s="172"/>
      <c r="C94" s="172"/>
      <c r="D94" s="172"/>
      <c r="E94" s="173"/>
      <c r="F94" s="170">
        <f>(F38/30)*1/12</f>
        <v>10.32626111111111</v>
      </c>
      <c r="G94" s="170"/>
    </row>
    <row r="95" spans="1:10" ht="15" customHeight="1">
      <c r="A95" s="171" t="s">
        <v>214</v>
      </c>
      <c r="B95" s="172"/>
      <c r="C95" s="172"/>
      <c r="D95" s="172"/>
      <c r="E95" s="173"/>
      <c r="F95" s="177">
        <f>(F38/30*5)/12*0.0157</f>
        <v>0.81061149722222203</v>
      </c>
      <c r="G95" s="178"/>
      <c r="J95" s="29"/>
    </row>
    <row r="96" spans="1:10" ht="12.75" customHeight="1">
      <c r="A96" s="171" t="s">
        <v>213</v>
      </c>
      <c r="B96" s="172"/>
      <c r="C96" s="172"/>
      <c r="D96" s="172"/>
      <c r="E96" s="173"/>
      <c r="F96" s="170">
        <f>(F38/30*3)/12*0.3</f>
        <v>9.2936350000000001</v>
      </c>
      <c r="G96" s="170"/>
    </row>
    <row r="97" spans="1:8" ht="15" customHeight="1">
      <c r="A97" s="171" t="s">
        <v>215</v>
      </c>
      <c r="B97" s="172"/>
      <c r="C97" s="172"/>
      <c r="D97" s="172"/>
      <c r="E97" s="173"/>
      <c r="F97" s="162">
        <f>(F38/30*15)/12*0.012</f>
        <v>1.8587269999999998</v>
      </c>
      <c r="G97" s="162"/>
    </row>
    <row r="98" spans="1:8">
      <c r="A98" s="174" t="s">
        <v>93</v>
      </c>
      <c r="B98" s="175"/>
      <c r="C98" s="175"/>
      <c r="D98" s="175"/>
      <c r="E98" s="176"/>
      <c r="F98" s="170">
        <f>F38*E98</f>
        <v>0</v>
      </c>
      <c r="G98" s="170"/>
    </row>
    <row r="99" spans="1:8">
      <c r="A99" s="150" t="s">
        <v>76</v>
      </c>
      <c r="B99" s="150"/>
      <c r="C99" s="150"/>
      <c r="D99" s="150"/>
      <c r="E99" s="150"/>
      <c r="F99" s="152">
        <f>SUM(F93:G98)</f>
        <v>332.07706794166666</v>
      </c>
      <c r="G99" s="152"/>
    </row>
    <row r="100" spans="1:8">
      <c r="A100" s="147" t="s">
        <v>94</v>
      </c>
      <c r="B100" s="147"/>
      <c r="C100" s="147"/>
      <c r="D100" s="147"/>
      <c r="E100" s="147"/>
      <c r="F100" s="170">
        <f>F99*E69</f>
        <v>122.20436100253336</v>
      </c>
      <c r="G100" s="170"/>
    </row>
    <row r="101" spans="1:8">
      <c r="A101" s="150" t="s">
        <v>95</v>
      </c>
      <c r="B101" s="150"/>
      <c r="C101" s="150"/>
      <c r="D101" s="150"/>
      <c r="E101" s="150"/>
      <c r="F101" s="152">
        <f>F99+F100</f>
        <v>454.2814289442</v>
      </c>
      <c r="G101" s="152"/>
      <c r="H101" s="28"/>
    </row>
    <row r="102" spans="1:8">
      <c r="A102" s="153" t="s">
        <v>96</v>
      </c>
      <c r="B102" s="153"/>
      <c r="C102" s="153"/>
      <c r="D102" s="153"/>
      <c r="E102" s="153"/>
      <c r="F102" s="153"/>
      <c r="G102" s="153"/>
    </row>
    <row r="103" spans="1:8">
      <c r="A103" s="154" t="s">
        <v>97</v>
      </c>
      <c r="B103" s="154"/>
      <c r="C103" s="154"/>
      <c r="D103" s="154"/>
      <c r="E103" s="154"/>
      <c r="F103" s="153" t="s">
        <v>48</v>
      </c>
      <c r="G103" s="155"/>
    </row>
    <row r="104" spans="1:8">
      <c r="A104" s="147" t="s">
        <v>61</v>
      </c>
      <c r="B104" s="147"/>
      <c r="C104" s="147"/>
      <c r="D104" s="147"/>
      <c r="E104" s="147"/>
      <c r="F104" s="148">
        <f>F69</f>
        <v>1368.023072</v>
      </c>
      <c r="G104" s="149"/>
    </row>
    <row r="105" spans="1:8">
      <c r="A105" s="147" t="s">
        <v>73</v>
      </c>
      <c r="B105" s="147"/>
      <c r="C105" s="147"/>
      <c r="D105" s="147"/>
      <c r="E105" s="147"/>
      <c r="F105" s="148">
        <f>F76</f>
        <v>565.05300799999998</v>
      </c>
      <c r="G105" s="149"/>
    </row>
    <row r="106" spans="1:8">
      <c r="A106" s="147" t="s">
        <v>80</v>
      </c>
      <c r="B106" s="147"/>
      <c r="C106" s="147"/>
      <c r="D106" s="147"/>
      <c r="E106" s="147"/>
      <c r="F106" s="148">
        <f>F81</f>
        <v>1.8816265166400001</v>
      </c>
      <c r="G106" s="149"/>
    </row>
    <row r="107" spans="1:8">
      <c r="A107" s="147" t="s">
        <v>84</v>
      </c>
      <c r="B107" s="147"/>
      <c r="C107" s="147"/>
      <c r="D107" s="147"/>
      <c r="E107" s="147"/>
      <c r="F107" s="148">
        <f>F90</f>
        <v>132.29179634666667</v>
      </c>
      <c r="G107" s="149"/>
    </row>
    <row r="108" spans="1:8">
      <c r="A108" s="147" t="s">
        <v>91</v>
      </c>
      <c r="B108" s="147"/>
      <c r="C108" s="147"/>
      <c r="D108" s="147"/>
      <c r="E108" s="147"/>
      <c r="F108" s="148">
        <f>F101</f>
        <v>454.2814289442</v>
      </c>
      <c r="G108" s="149"/>
    </row>
    <row r="109" spans="1:8">
      <c r="A109" s="147" t="s">
        <v>158</v>
      </c>
      <c r="B109" s="147"/>
      <c r="C109" s="147"/>
      <c r="D109" s="147"/>
      <c r="E109" s="147"/>
      <c r="F109" s="148">
        <v>0</v>
      </c>
      <c r="G109" s="149"/>
    </row>
    <row r="110" spans="1:8">
      <c r="A110" s="150" t="s">
        <v>98</v>
      </c>
      <c r="B110" s="151"/>
      <c r="C110" s="151"/>
      <c r="D110" s="151"/>
      <c r="E110" s="151"/>
      <c r="F110" s="152">
        <f>SUM(F104:G109)</f>
        <v>2521.5309318075065</v>
      </c>
      <c r="G110" s="152"/>
    </row>
    <row r="111" spans="1:8">
      <c r="A111" s="169"/>
      <c r="B111" s="169"/>
      <c r="C111" s="169"/>
      <c r="D111" s="169"/>
      <c r="E111" s="169"/>
      <c r="F111" s="169"/>
      <c r="G111" s="169"/>
    </row>
    <row r="112" spans="1:8">
      <c r="A112" s="153" t="s">
        <v>99</v>
      </c>
      <c r="B112" s="153"/>
      <c r="C112" s="153"/>
      <c r="D112" s="153"/>
      <c r="E112" s="153"/>
      <c r="F112" s="153"/>
      <c r="G112" s="153"/>
    </row>
    <row r="113" spans="1:10">
      <c r="A113" s="153" t="s">
        <v>100</v>
      </c>
      <c r="B113" s="153"/>
      <c r="C113" s="153"/>
      <c r="D113" s="153"/>
      <c r="E113" s="153"/>
      <c r="F113" s="153"/>
      <c r="G113" s="153"/>
    </row>
    <row r="114" spans="1:10">
      <c r="A114" s="154" t="s">
        <v>101</v>
      </c>
      <c r="B114" s="154"/>
      <c r="C114" s="154"/>
      <c r="D114" s="154"/>
      <c r="E114" s="25" t="s">
        <v>62</v>
      </c>
      <c r="F114" s="153" t="s">
        <v>48</v>
      </c>
      <c r="G114" s="155"/>
    </row>
    <row r="115" spans="1:10" ht="24" customHeight="1">
      <c r="A115" s="168" t="s">
        <v>217</v>
      </c>
      <c r="B115" s="168"/>
      <c r="C115" s="168"/>
      <c r="D115" s="168"/>
      <c r="E115" s="103">
        <v>2.75E-2</v>
      </c>
      <c r="F115" s="148">
        <f>(F38+F49+F56+F110)*E115</f>
        <v>212.25293114628377</v>
      </c>
      <c r="G115" s="155"/>
    </row>
    <row r="116" spans="1:10">
      <c r="A116" s="153" t="s">
        <v>102</v>
      </c>
      <c r="B116" s="153"/>
      <c r="C116" s="153"/>
      <c r="D116" s="153"/>
      <c r="E116" s="153"/>
      <c r="F116" s="153"/>
      <c r="G116" s="153"/>
    </row>
    <row r="117" spans="1:10">
      <c r="A117" s="154" t="s">
        <v>103</v>
      </c>
      <c r="B117" s="154"/>
      <c r="C117" s="154"/>
      <c r="D117" s="154"/>
      <c r="E117" s="25" t="s">
        <v>62</v>
      </c>
      <c r="F117" s="153" t="s">
        <v>48</v>
      </c>
      <c r="G117" s="155"/>
    </row>
    <row r="118" spans="1:10" ht="26.25" customHeight="1">
      <c r="A118" s="168" t="s">
        <v>218</v>
      </c>
      <c r="B118" s="168"/>
      <c r="C118" s="168"/>
      <c r="D118" s="168"/>
      <c r="E118" s="104">
        <v>1.6299999999999999E-2</v>
      </c>
      <c r="F118" s="148">
        <f>SUM(F38,F49,F56,F110,F115)*E118</f>
        <v>129.2678237843908</v>
      </c>
      <c r="G118" s="155"/>
    </row>
    <row r="119" spans="1:10" ht="14.25" customHeight="1">
      <c r="A119" s="153" t="s">
        <v>104</v>
      </c>
      <c r="B119" s="153"/>
      <c r="C119" s="153"/>
      <c r="D119" s="153"/>
      <c r="E119" s="153"/>
      <c r="F119" s="153"/>
      <c r="G119" s="153"/>
    </row>
    <row r="120" spans="1:10">
      <c r="A120" s="154" t="s">
        <v>105</v>
      </c>
      <c r="B120" s="154"/>
      <c r="C120" s="154"/>
      <c r="D120" s="154"/>
      <c r="E120" s="154"/>
      <c r="F120" s="153" t="s">
        <v>48</v>
      </c>
      <c r="G120" s="155"/>
    </row>
    <row r="121" spans="1:10">
      <c r="A121" s="154" t="s">
        <v>106</v>
      </c>
      <c r="B121" s="154"/>
      <c r="C121" s="154"/>
      <c r="D121" s="154"/>
      <c r="E121" s="154"/>
      <c r="F121" s="167" t="s">
        <v>47</v>
      </c>
      <c r="G121" s="167"/>
    </row>
    <row r="122" spans="1:10">
      <c r="A122" s="147" t="s">
        <v>107</v>
      </c>
      <c r="B122" s="147"/>
      <c r="C122" s="147"/>
      <c r="D122" s="147"/>
      <c r="E122" s="147"/>
      <c r="F122" s="165">
        <f>'PIS-COFINS'!F18</f>
        <v>1.6499999999999997</v>
      </c>
      <c r="G122" s="165"/>
    </row>
    <row r="123" spans="1:10">
      <c r="A123" s="147" t="s">
        <v>108</v>
      </c>
      <c r="B123" s="147"/>
      <c r="C123" s="147"/>
      <c r="D123" s="147"/>
      <c r="E123" s="147"/>
      <c r="F123" s="165">
        <f>'PIS-COFINS'!F34</f>
        <v>7.5999999999999988</v>
      </c>
      <c r="G123" s="165"/>
    </row>
    <row r="124" spans="1:10">
      <c r="A124" s="154" t="s">
        <v>109</v>
      </c>
      <c r="B124" s="154"/>
      <c r="C124" s="154"/>
      <c r="D124" s="154"/>
      <c r="E124" s="154"/>
      <c r="F124" s="167" t="s">
        <v>47</v>
      </c>
      <c r="G124" s="167"/>
    </row>
    <row r="125" spans="1:10">
      <c r="A125" s="147" t="s">
        <v>110</v>
      </c>
      <c r="B125" s="147"/>
      <c r="C125" s="147"/>
      <c r="D125" s="147"/>
      <c r="E125" s="147"/>
      <c r="F125" s="165">
        <v>5</v>
      </c>
      <c r="G125" s="165"/>
    </row>
    <row r="126" spans="1:10">
      <c r="A126" s="154" t="s">
        <v>111</v>
      </c>
      <c r="B126" s="154"/>
      <c r="C126" s="154"/>
      <c r="D126" s="154"/>
      <c r="E126" s="154"/>
      <c r="F126" s="167" t="s">
        <v>47</v>
      </c>
      <c r="G126" s="167"/>
    </row>
    <row r="127" spans="1:10">
      <c r="A127" s="147" t="s">
        <v>112</v>
      </c>
      <c r="B127" s="147"/>
      <c r="C127" s="147"/>
      <c r="D127" s="147"/>
      <c r="E127" s="147"/>
      <c r="F127" s="165">
        <v>0</v>
      </c>
      <c r="G127" s="165"/>
    </row>
    <row r="128" spans="1:10">
      <c r="A128" s="150" t="s">
        <v>113</v>
      </c>
      <c r="B128" s="150"/>
      <c r="C128" s="150"/>
      <c r="D128" s="150"/>
      <c r="E128" s="150"/>
      <c r="F128" s="165">
        <f>SUM(F122,F123,F125,F127)</f>
        <v>14.249999999999998</v>
      </c>
      <c r="G128" s="165"/>
      <c r="I128" s="29"/>
      <c r="J128" s="29"/>
    </row>
    <row r="129" spans="1:10">
      <c r="A129" s="156" t="s">
        <v>114</v>
      </c>
      <c r="B129" s="156"/>
      <c r="C129" s="156"/>
      <c r="D129" s="163">
        <f>F128/100</f>
        <v>0.14249999999999999</v>
      </c>
      <c r="E129" s="163"/>
      <c r="F129" s="166"/>
      <c r="G129" s="166"/>
    </row>
    <row r="130" spans="1:10">
      <c r="A130" s="160" t="s">
        <v>115</v>
      </c>
      <c r="B130" s="160"/>
      <c r="C130" s="160"/>
      <c r="D130" s="161" t="s">
        <v>116</v>
      </c>
      <c r="E130" s="161"/>
      <c r="F130" s="162">
        <f>SUM(F38,F49,F56,F110,F115,F118)</f>
        <v>8059.8091602500854</v>
      </c>
      <c r="G130" s="162"/>
    </row>
    <row r="131" spans="1:10">
      <c r="A131" s="156" t="s">
        <v>117</v>
      </c>
      <c r="B131" s="156"/>
      <c r="C131" s="156"/>
      <c r="D131" s="163">
        <f>1-D129</f>
        <v>0.85750000000000004</v>
      </c>
      <c r="E131" s="163"/>
      <c r="F131" s="164"/>
      <c r="G131" s="164"/>
      <c r="J131" s="29"/>
    </row>
    <row r="132" spans="1:10">
      <c r="A132" s="156" t="s">
        <v>118</v>
      </c>
      <c r="B132" s="156"/>
      <c r="C132" s="156"/>
      <c r="D132" s="157" t="s">
        <v>119</v>
      </c>
      <c r="E132" s="157"/>
      <c r="F132" s="158">
        <f>F130/D131</f>
        <v>9399.1943559767751</v>
      </c>
      <c r="G132" s="158"/>
      <c r="I132" s="29"/>
    </row>
    <row r="133" spans="1:10">
      <c r="A133" s="150" t="s">
        <v>120</v>
      </c>
      <c r="B133" s="150"/>
      <c r="C133" s="150"/>
      <c r="D133" s="150"/>
      <c r="E133" s="150"/>
      <c r="F133" s="159">
        <f>F128/100*F132</f>
        <v>1339.3851957266904</v>
      </c>
      <c r="G133" s="159"/>
      <c r="I133" s="29"/>
    </row>
    <row r="134" spans="1:10">
      <c r="A134" s="153" t="s">
        <v>121</v>
      </c>
      <c r="B134" s="153"/>
      <c r="C134" s="153"/>
      <c r="D134" s="153"/>
      <c r="E134" s="153"/>
      <c r="F134" s="153"/>
      <c r="G134" s="153"/>
    </row>
    <row r="135" spans="1:10">
      <c r="A135" s="154" t="s">
        <v>122</v>
      </c>
      <c r="B135" s="154"/>
      <c r="C135" s="154"/>
      <c r="D135" s="154"/>
      <c r="E135" s="154"/>
      <c r="F135" s="153" t="s">
        <v>48</v>
      </c>
      <c r="G135" s="155"/>
    </row>
    <row r="136" spans="1:10">
      <c r="A136" s="147" t="s">
        <v>101</v>
      </c>
      <c r="B136" s="147"/>
      <c r="C136" s="147"/>
      <c r="D136" s="147"/>
      <c r="E136" s="147"/>
      <c r="F136" s="148">
        <f>F115</f>
        <v>212.25293114628377</v>
      </c>
      <c r="G136" s="149"/>
    </row>
    <row r="137" spans="1:10">
      <c r="A137" s="147" t="s">
        <v>103</v>
      </c>
      <c r="B137" s="147"/>
      <c r="C137" s="147"/>
      <c r="D137" s="147"/>
      <c r="E137" s="147"/>
      <c r="F137" s="148">
        <f>F118</f>
        <v>129.2678237843908</v>
      </c>
      <c r="G137" s="149"/>
    </row>
    <row r="138" spans="1:10">
      <c r="A138" s="147" t="s">
        <v>123</v>
      </c>
      <c r="B138" s="147"/>
      <c r="C138" s="147"/>
      <c r="D138" s="147"/>
      <c r="E138" s="147"/>
      <c r="F138" s="148">
        <f>F133</f>
        <v>1339.3851957266904</v>
      </c>
      <c r="G138" s="149"/>
    </row>
    <row r="139" spans="1:10">
      <c r="A139" s="150" t="s">
        <v>124</v>
      </c>
      <c r="B139" s="151"/>
      <c r="C139" s="151"/>
      <c r="D139" s="151"/>
      <c r="E139" s="151"/>
      <c r="F139" s="152">
        <f>SUM(F136:G138)</f>
        <v>1680.9059506573649</v>
      </c>
      <c r="G139" s="152"/>
    </row>
    <row r="140" spans="1:10">
      <c r="A140" s="149"/>
      <c r="B140" s="149"/>
      <c r="C140" s="149"/>
      <c r="D140" s="149"/>
      <c r="E140" s="149"/>
      <c r="F140" s="149"/>
      <c r="G140" s="149"/>
    </row>
    <row r="141" spans="1:10">
      <c r="A141" s="153" t="s">
        <v>125</v>
      </c>
      <c r="B141" s="153"/>
      <c r="C141" s="153"/>
      <c r="D141" s="153"/>
      <c r="E141" s="153"/>
      <c r="F141" s="153"/>
      <c r="G141" s="153"/>
    </row>
    <row r="142" spans="1:10">
      <c r="A142" s="154" t="s">
        <v>126</v>
      </c>
      <c r="B142" s="154"/>
      <c r="C142" s="154"/>
      <c r="D142" s="154"/>
      <c r="E142" s="154"/>
      <c r="F142" s="153" t="s">
        <v>48</v>
      </c>
      <c r="G142" s="155"/>
    </row>
    <row r="143" spans="1:10">
      <c r="A143" s="147" t="s">
        <v>127</v>
      </c>
      <c r="B143" s="147"/>
      <c r="C143" s="147"/>
      <c r="D143" s="147"/>
      <c r="E143" s="147"/>
      <c r="F143" s="148">
        <f>F38</f>
        <v>3717.4539999999997</v>
      </c>
      <c r="G143" s="149"/>
    </row>
    <row r="144" spans="1:10">
      <c r="A144" s="147" t="s">
        <v>128</v>
      </c>
      <c r="B144" s="147"/>
      <c r="C144" s="147"/>
      <c r="D144" s="147"/>
      <c r="E144" s="147"/>
      <c r="F144" s="148">
        <f>F49</f>
        <v>1362.5980000000002</v>
      </c>
      <c r="G144" s="149"/>
    </row>
    <row r="145" spans="1:10">
      <c r="A145" s="147" t="s">
        <v>129</v>
      </c>
      <c r="B145" s="147"/>
      <c r="C145" s="147"/>
      <c r="D145" s="147"/>
      <c r="E145" s="147"/>
      <c r="F145" s="148">
        <f>F56</f>
        <v>116.70547351190478</v>
      </c>
      <c r="G145" s="149"/>
    </row>
    <row r="146" spans="1:10">
      <c r="A146" s="147" t="s">
        <v>130</v>
      </c>
      <c r="B146" s="147"/>
      <c r="C146" s="147"/>
      <c r="D146" s="147"/>
      <c r="E146" s="147"/>
      <c r="F146" s="148">
        <f>F110</f>
        <v>2521.5309318075065</v>
      </c>
      <c r="G146" s="149"/>
    </row>
    <row r="147" spans="1:10">
      <c r="A147" s="147" t="s">
        <v>131</v>
      </c>
      <c r="B147" s="147"/>
      <c r="C147" s="147"/>
      <c r="D147" s="147"/>
      <c r="E147" s="147"/>
      <c r="F147" s="148">
        <f>F139</f>
        <v>1680.9059506573649</v>
      </c>
      <c r="G147" s="149"/>
    </row>
    <row r="148" spans="1:10">
      <c r="A148" s="150" t="s">
        <v>132</v>
      </c>
      <c r="B148" s="151"/>
      <c r="C148" s="151"/>
      <c r="D148" s="151"/>
      <c r="E148" s="151"/>
      <c r="F148" s="152">
        <f>ROUND(SUM(F143:G147),2)</f>
        <v>9399.19</v>
      </c>
      <c r="G148" s="152"/>
    </row>
    <row r="150" spans="1:10">
      <c r="J150" s="29"/>
    </row>
    <row r="151" spans="1:10">
      <c r="A151" s="28"/>
      <c r="J151" s="29"/>
    </row>
  </sheetData>
  <mergeCells count="261">
    <mergeCell ref="A1:G1"/>
    <mergeCell ref="B2:G2"/>
    <mergeCell ref="B3:G3"/>
    <mergeCell ref="B4:G4"/>
    <mergeCell ref="B5:G5"/>
    <mergeCell ref="A6:G6"/>
    <mergeCell ref="A13:G13"/>
    <mergeCell ref="A14:D14"/>
    <mergeCell ref="E14:G14"/>
    <mergeCell ref="A15:D15"/>
    <mergeCell ref="E15:G15"/>
    <mergeCell ref="A16:D16"/>
    <mergeCell ref="E16:G16"/>
    <mergeCell ref="A7:G7"/>
    <mergeCell ref="A8:G8"/>
    <mergeCell ref="A9:G9"/>
    <mergeCell ref="A10:G10"/>
    <mergeCell ref="A11:G11"/>
    <mergeCell ref="A12:G12"/>
    <mergeCell ref="A20:D20"/>
    <mergeCell ref="E20:G20"/>
    <mergeCell ref="A21:G21"/>
    <mergeCell ref="A22:G22"/>
    <mergeCell ref="A23:G23"/>
    <mergeCell ref="A24:G24"/>
    <mergeCell ref="A17:D17"/>
    <mergeCell ref="E17:G17"/>
    <mergeCell ref="A18:D18"/>
    <mergeCell ref="E18:G18"/>
    <mergeCell ref="A19:D19"/>
    <mergeCell ref="E19:G19"/>
    <mergeCell ref="A29:D29"/>
    <mergeCell ref="E29:G29"/>
    <mergeCell ref="A30:D30"/>
    <mergeCell ref="E30:G30"/>
    <mergeCell ref="A31:D31"/>
    <mergeCell ref="E31:G31"/>
    <mergeCell ref="A25:D25"/>
    <mergeCell ref="E25:G25"/>
    <mergeCell ref="A26:D26"/>
    <mergeCell ref="E26:G26"/>
    <mergeCell ref="A27:G27"/>
    <mergeCell ref="A28:D28"/>
    <mergeCell ref="E28:G28"/>
    <mergeCell ref="A36:D36"/>
    <mergeCell ref="F36:G36"/>
    <mergeCell ref="A37:D37"/>
    <mergeCell ref="F37:G37"/>
    <mergeCell ref="F38:G38"/>
    <mergeCell ref="A32:G32"/>
    <mergeCell ref="A33:G33"/>
    <mergeCell ref="A34:D34"/>
    <mergeCell ref="F34:G34"/>
    <mergeCell ref="A35:D35"/>
    <mergeCell ref="F35:G35"/>
    <mergeCell ref="A50:G50"/>
    <mergeCell ref="A46:E46"/>
    <mergeCell ref="F46:G46"/>
    <mergeCell ref="A47:E47"/>
    <mergeCell ref="F47:G47"/>
    <mergeCell ref="A49:E49"/>
    <mergeCell ref="F49:G49"/>
    <mergeCell ref="A43:E43"/>
    <mergeCell ref="F43:G43"/>
    <mergeCell ref="A44:E44"/>
    <mergeCell ref="F44:G44"/>
    <mergeCell ref="A45:E45"/>
    <mergeCell ref="F45:G45"/>
    <mergeCell ref="A48:E48"/>
    <mergeCell ref="F48:G48"/>
    <mergeCell ref="A54:E54"/>
    <mergeCell ref="F54:G54"/>
    <mergeCell ref="A55:E55"/>
    <mergeCell ref="F55:G55"/>
    <mergeCell ref="A56:E56"/>
    <mergeCell ref="F56:G56"/>
    <mergeCell ref="A53:E53"/>
    <mergeCell ref="F53:G53"/>
    <mergeCell ref="A51:E51"/>
    <mergeCell ref="F51:G51"/>
    <mergeCell ref="A52:E52"/>
    <mergeCell ref="F52:G52"/>
    <mergeCell ref="A60:D60"/>
    <mergeCell ref="F60:G60"/>
    <mergeCell ref="A61:D61"/>
    <mergeCell ref="A57:G57"/>
    <mergeCell ref="A58:G58"/>
    <mergeCell ref="A59:G59"/>
    <mergeCell ref="F61:G61"/>
    <mergeCell ref="A62:D62"/>
    <mergeCell ref="F62:G62"/>
    <mergeCell ref="A75:E75"/>
    <mergeCell ref="F75:G75"/>
    <mergeCell ref="A76:E76"/>
    <mergeCell ref="F76:G76"/>
    <mergeCell ref="A77:G77"/>
    <mergeCell ref="F71:G71"/>
    <mergeCell ref="F72:G72"/>
    <mergeCell ref="A74:E74"/>
    <mergeCell ref="F74:G74"/>
    <mergeCell ref="A73:E73"/>
    <mergeCell ref="F73:G73"/>
    <mergeCell ref="A82:G82"/>
    <mergeCell ref="A78:E78"/>
    <mergeCell ref="F78:G78"/>
    <mergeCell ref="A79:E79"/>
    <mergeCell ref="F79:G79"/>
    <mergeCell ref="A81:E81"/>
    <mergeCell ref="F81:G81"/>
    <mergeCell ref="A80:E80"/>
    <mergeCell ref="F80:G80"/>
    <mergeCell ref="A86:E86"/>
    <mergeCell ref="F86:G86"/>
    <mergeCell ref="A87:E87"/>
    <mergeCell ref="F87:G87"/>
    <mergeCell ref="A88:E88"/>
    <mergeCell ref="F88:G88"/>
    <mergeCell ref="A85:E85"/>
    <mergeCell ref="F85:G85"/>
    <mergeCell ref="A83:E83"/>
    <mergeCell ref="F83:G83"/>
    <mergeCell ref="A84:E84"/>
    <mergeCell ref="F84:G84"/>
    <mergeCell ref="A92:E92"/>
    <mergeCell ref="F92:G92"/>
    <mergeCell ref="A93:E93"/>
    <mergeCell ref="F93:G93"/>
    <mergeCell ref="A95:E95"/>
    <mergeCell ref="F95:G95"/>
    <mergeCell ref="A94:E94"/>
    <mergeCell ref="F94:G94"/>
    <mergeCell ref="A89:E89"/>
    <mergeCell ref="F89:G89"/>
    <mergeCell ref="A90:E90"/>
    <mergeCell ref="F90:G90"/>
    <mergeCell ref="A91:G91"/>
    <mergeCell ref="A102:G102"/>
    <mergeCell ref="A99:E99"/>
    <mergeCell ref="F99:G99"/>
    <mergeCell ref="A100:E100"/>
    <mergeCell ref="F100:G100"/>
    <mergeCell ref="A101:E101"/>
    <mergeCell ref="F101:G101"/>
    <mergeCell ref="A96:E96"/>
    <mergeCell ref="F96:G96"/>
    <mergeCell ref="A97:E97"/>
    <mergeCell ref="F97:G97"/>
    <mergeCell ref="A98:E98"/>
    <mergeCell ref="F98:G98"/>
    <mergeCell ref="A106:E106"/>
    <mergeCell ref="F106:G106"/>
    <mergeCell ref="A107:E107"/>
    <mergeCell ref="F107:G107"/>
    <mergeCell ref="A108:E108"/>
    <mergeCell ref="F108:G108"/>
    <mergeCell ref="A105:E105"/>
    <mergeCell ref="F105:G105"/>
    <mergeCell ref="A103:E103"/>
    <mergeCell ref="F103:G103"/>
    <mergeCell ref="A104:E104"/>
    <mergeCell ref="F104:G104"/>
    <mergeCell ref="A112:G112"/>
    <mergeCell ref="A113:G113"/>
    <mergeCell ref="A114:D114"/>
    <mergeCell ref="F114:G114"/>
    <mergeCell ref="A109:E109"/>
    <mergeCell ref="F109:G109"/>
    <mergeCell ref="A110:E110"/>
    <mergeCell ref="F110:G110"/>
    <mergeCell ref="A111:G111"/>
    <mergeCell ref="F120:G120"/>
    <mergeCell ref="F121:G121"/>
    <mergeCell ref="A123:E123"/>
    <mergeCell ref="F123:G123"/>
    <mergeCell ref="A116:G116"/>
    <mergeCell ref="A117:D117"/>
    <mergeCell ref="F117:G117"/>
    <mergeCell ref="A118:D118"/>
    <mergeCell ref="F118:G118"/>
    <mergeCell ref="A119:G119"/>
    <mergeCell ref="F129:G129"/>
    <mergeCell ref="A129:C129"/>
    <mergeCell ref="D129:E129"/>
    <mergeCell ref="D131:E131"/>
    <mergeCell ref="A124:E124"/>
    <mergeCell ref="F124:G124"/>
    <mergeCell ref="A125:E125"/>
    <mergeCell ref="F125:G125"/>
    <mergeCell ref="A126:E126"/>
    <mergeCell ref="F126:G126"/>
    <mergeCell ref="A148:E148"/>
    <mergeCell ref="F148:G148"/>
    <mergeCell ref="A145:E145"/>
    <mergeCell ref="F145:G145"/>
    <mergeCell ref="A146:E146"/>
    <mergeCell ref="F146:G146"/>
    <mergeCell ref="A147:E147"/>
    <mergeCell ref="F147:G147"/>
    <mergeCell ref="A142:E142"/>
    <mergeCell ref="F142:G142"/>
    <mergeCell ref="A143:E143"/>
    <mergeCell ref="F143:G143"/>
    <mergeCell ref="A144:E144"/>
    <mergeCell ref="F144:G144"/>
    <mergeCell ref="A70:G70"/>
    <mergeCell ref="A71:E71"/>
    <mergeCell ref="A72:E72"/>
    <mergeCell ref="A38:E38"/>
    <mergeCell ref="A39:G39"/>
    <mergeCell ref="A40:G40"/>
    <mergeCell ref="A41:E41"/>
    <mergeCell ref="F41:G41"/>
    <mergeCell ref="A42:E42"/>
    <mergeCell ref="F42:G42"/>
    <mergeCell ref="A68:D68"/>
    <mergeCell ref="F68:G68"/>
    <mergeCell ref="A69:D69"/>
    <mergeCell ref="F69:G69"/>
    <mergeCell ref="A65:D65"/>
    <mergeCell ref="F65:G65"/>
    <mergeCell ref="A66:D66"/>
    <mergeCell ref="F66:G66"/>
    <mergeCell ref="A67:D67"/>
    <mergeCell ref="F67:G67"/>
    <mergeCell ref="A63:D63"/>
    <mergeCell ref="F63:G63"/>
    <mergeCell ref="A64:D64"/>
    <mergeCell ref="F64:G64"/>
    <mergeCell ref="A133:E133"/>
    <mergeCell ref="A134:G134"/>
    <mergeCell ref="A135:E135"/>
    <mergeCell ref="A137:E137"/>
    <mergeCell ref="F137:G137"/>
    <mergeCell ref="A115:D115"/>
    <mergeCell ref="F115:G115"/>
    <mergeCell ref="A120:E120"/>
    <mergeCell ref="A121:E121"/>
    <mergeCell ref="A122:E122"/>
    <mergeCell ref="F122:G122"/>
    <mergeCell ref="F133:G133"/>
    <mergeCell ref="F130:G130"/>
    <mergeCell ref="F131:G131"/>
    <mergeCell ref="A132:C132"/>
    <mergeCell ref="D132:E132"/>
    <mergeCell ref="F132:G132"/>
    <mergeCell ref="A130:C130"/>
    <mergeCell ref="D130:E130"/>
    <mergeCell ref="A131:C131"/>
    <mergeCell ref="A127:E127"/>
    <mergeCell ref="F127:G127"/>
    <mergeCell ref="A128:E128"/>
    <mergeCell ref="F128:G128"/>
    <mergeCell ref="A141:G141"/>
    <mergeCell ref="A138:E138"/>
    <mergeCell ref="F138:G138"/>
    <mergeCell ref="A139:E139"/>
    <mergeCell ref="F139:G139"/>
    <mergeCell ref="A140:G140"/>
    <mergeCell ref="F135:G135"/>
    <mergeCell ref="A136:E136"/>
    <mergeCell ref="F136:G136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8"/>
  <sheetViews>
    <sheetView zoomScale="110" zoomScaleNormal="110" workbookViewId="0">
      <selection activeCell="A6" sqref="A6:G6"/>
    </sheetView>
  </sheetViews>
  <sheetFormatPr defaultRowHeight="15"/>
  <cols>
    <col min="1" max="1" width="10.7109375" customWidth="1"/>
    <col min="2" max="3" width="12" customWidth="1"/>
    <col min="4" max="4" width="36.7109375" customWidth="1"/>
    <col min="5" max="5" width="28.5703125" customWidth="1"/>
  </cols>
  <sheetData>
    <row r="1" spans="1:7" ht="18">
      <c r="A1" s="223" t="s">
        <v>27</v>
      </c>
      <c r="B1" s="223"/>
      <c r="C1" s="223"/>
      <c r="D1" s="223"/>
      <c r="E1" s="223"/>
      <c r="F1" s="223"/>
      <c r="G1" s="223"/>
    </row>
    <row r="2" spans="1:7">
      <c r="A2" s="19"/>
      <c r="B2" s="224" t="s">
        <v>0</v>
      </c>
      <c r="C2" s="224"/>
      <c r="D2" s="224"/>
      <c r="E2" s="224"/>
      <c r="F2" s="224"/>
      <c r="G2" s="224"/>
    </row>
    <row r="3" spans="1:7">
      <c r="A3" s="19"/>
      <c r="B3" s="224" t="s">
        <v>1</v>
      </c>
      <c r="C3" s="224"/>
      <c r="D3" s="224"/>
      <c r="E3" s="224"/>
      <c r="F3" s="224"/>
      <c r="G3" s="224"/>
    </row>
    <row r="4" spans="1:7">
      <c r="A4" s="19"/>
      <c r="B4" s="225" t="s">
        <v>2</v>
      </c>
      <c r="C4" s="224"/>
      <c r="D4" s="224"/>
      <c r="E4" s="224"/>
      <c r="F4" s="224"/>
      <c r="G4" s="224"/>
    </row>
    <row r="5" spans="1:7">
      <c r="A5" s="19"/>
      <c r="B5" s="224"/>
      <c r="C5" s="224"/>
      <c r="D5" s="224"/>
      <c r="E5" s="224"/>
      <c r="F5" s="224"/>
      <c r="G5" s="224"/>
    </row>
    <row r="6" spans="1:7">
      <c r="A6" s="215" t="s">
        <v>27</v>
      </c>
      <c r="B6" s="215"/>
      <c r="C6" s="215"/>
      <c r="D6" s="215"/>
      <c r="E6" s="215"/>
      <c r="F6" s="215"/>
      <c r="G6" s="215"/>
    </row>
    <row r="7" spans="1:7">
      <c r="A7" s="218"/>
      <c r="B7" s="219"/>
      <c r="C7" s="219"/>
      <c r="D7" s="219"/>
      <c r="E7" s="219"/>
      <c r="F7" s="219"/>
      <c r="G7" s="220"/>
    </row>
    <row r="8" spans="1:7">
      <c r="A8" s="226" t="str">
        <f>'Vigilante 12X36 SEDE DIURNO'!A8:G8</f>
        <v>Nº do Processo: 0004539-81.2025.6.07.8100</v>
      </c>
      <c r="B8" s="227"/>
      <c r="C8" s="227"/>
      <c r="D8" s="227"/>
      <c r="E8" s="227"/>
      <c r="F8" s="227"/>
      <c r="G8" s="228"/>
    </row>
    <row r="9" spans="1:7">
      <c r="A9" s="226" t="str">
        <f>'Vigilante 12X36 SEDE DIURNO'!A9:G9</f>
        <v>Licitação nº XXX/2026</v>
      </c>
      <c r="B9" s="227"/>
      <c r="C9" s="227"/>
      <c r="D9" s="227"/>
      <c r="E9" s="227"/>
      <c r="F9" s="227"/>
      <c r="G9" s="228"/>
    </row>
    <row r="10" spans="1:7">
      <c r="A10" s="226" t="str">
        <f>'Vigilante 12X36 SEDE DIURNO'!A10:G10</f>
        <v xml:space="preserve">Proposta da Licitação: id. </v>
      </c>
      <c r="B10" s="227"/>
      <c r="C10" s="227"/>
      <c r="D10" s="227"/>
      <c r="E10" s="227"/>
      <c r="F10" s="227"/>
      <c r="G10" s="228"/>
    </row>
    <row r="11" spans="1:7">
      <c r="A11" s="229"/>
      <c r="B11" s="215"/>
      <c r="C11" s="215"/>
      <c r="D11" s="215"/>
      <c r="E11" s="215"/>
      <c r="F11" s="215"/>
      <c r="G11" s="215"/>
    </row>
    <row r="12" spans="1:7">
      <c r="A12" s="215" t="s">
        <v>28</v>
      </c>
      <c r="B12" s="215"/>
      <c r="C12" s="215"/>
      <c r="D12" s="215"/>
      <c r="E12" s="215"/>
      <c r="F12" s="215"/>
      <c r="G12" s="215"/>
    </row>
    <row r="13" spans="1:7">
      <c r="A13" s="230"/>
      <c r="B13" s="230"/>
      <c r="C13" s="230"/>
      <c r="D13" s="230"/>
      <c r="E13" s="230"/>
      <c r="F13" s="230"/>
      <c r="G13" s="230"/>
    </row>
    <row r="14" spans="1:7">
      <c r="A14" s="222" t="s">
        <v>29</v>
      </c>
      <c r="B14" s="222"/>
      <c r="C14" s="222"/>
      <c r="D14" s="222"/>
      <c r="E14" s="215"/>
      <c r="F14" s="215"/>
      <c r="G14" s="215"/>
    </row>
    <row r="15" spans="1:7">
      <c r="A15" s="222" t="s">
        <v>30</v>
      </c>
      <c r="B15" s="222"/>
      <c r="C15" s="222"/>
      <c r="D15" s="222"/>
      <c r="E15" s="215" t="s">
        <v>31</v>
      </c>
      <c r="F15" s="215"/>
      <c r="G15" s="215"/>
    </row>
    <row r="16" spans="1:7">
      <c r="A16" s="222" t="s">
        <v>32</v>
      </c>
      <c r="B16" s="222"/>
      <c r="C16" s="222"/>
      <c r="D16" s="222"/>
      <c r="E16" s="215" t="str">
        <f>'Vigilante 12X36 SEDE DIURNO'!E16:G16</f>
        <v>CCT/2025-2025</v>
      </c>
      <c r="F16" s="215"/>
      <c r="G16" s="215"/>
    </row>
    <row r="17" spans="1:7">
      <c r="A17" s="222" t="s">
        <v>33</v>
      </c>
      <c r="B17" s="222"/>
      <c r="C17" s="222"/>
      <c r="D17" s="222"/>
      <c r="E17" s="221" t="s">
        <v>133</v>
      </c>
      <c r="F17" s="221"/>
      <c r="G17" s="221"/>
    </row>
    <row r="18" spans="1:7">
      <c r="A18" s="222" t="s">
        <v>34</v>
      </c>
      <c r="B18" s="222"/>
      <c r="C18" s="222"/>
      <c r="D18" s="222"/>
      <c r="E18" s="215" t="s">
        <v>35</v>
      </c>
      <c r="F18" s="215"/>
      <c r="G18" s="215"/>
    </row>
    <row r="19" spans="1:7">
      <c r="A19" s="222" t="s">
        <v>36</v>
      </c>
      <c r="B19" s="222"/>
      <c r="C19" s="222"/>
      <c r="D19" s="222"/>
      <c r="E19" s="215">
        <v>1</v>
      </c>
      <c r="F19" s="215"/>
      <c r="G19" s="215"/>
    </row>
    <row r="20" spans="1:7">
      <c r="A20" s="222" t="s">
        <v>37</v>
      </c>
      <c r="B20" s="222"/>
      <c r="C20" s="222"/>
      <c r="D20" s="222"/>
      <c r="E20" s="215">
        <v>12</v>
      </c>
      <c r="F20" s="215"/>
      <c r="G20" s="215"/>
    </row>
    <row r="21" spans="1:7">
      <c r="A21" s="217"/>
      <c r="B21" s="217"/>
      <c r="C21" s="217"/>
      <c r="D21" s="217"/>
      <c r="E21" s="217"/>
      <c r="F21" s="217"/>
      <c r="G21" s="217"/>
    </row>
    <row r="22" spans="1:7">
      <c r="A22" s="217" t="s">
        <v>38</v>
      </c>
      <c r="B22" s="217"/>
      <c r="C22" s="217"/>
      <c r="D22" s="217"/>
      <c r="E22" s="217"/>
      <c r="F22" s="217"/>
      <c r="G22" s="217"/>
    </row>
    <row r="23" spans="1:7">
      <c r="A23" s="218"/>
      <c r="B23" s="219"/>
      <c r="C23" s="219"/>
      <c r="D23" s="219"/>
      <c r="E23" s="219"/>
      <c r="F23" s="219"/>
      <c r="G23" s="220"/>
    </row>
    <row r="24" spans="1:7">
      <c r="A24" s="221" t="s">
        <v>39</v>
      </c>
      <c r="B24" s="221"/>
      <c r="C24" s="221"/>
      <c r="D24" s="221"/>
      <c r="E24" s="221"/>
      <c r="F24" s="221"/>
      <c r="G24" s="221"/>
    </row>
    <row r="25" spans="1:7">
      <c r="A25" s="215"/>
      <c r="B25" s="215"/>
      <c r="C25" s="215"/>
      <c r="D25" s="215"/>
      <c r="E25" s="215" t="s">
        <v>40</v>
      </c>
      <c r="F25" s="215"/>
      <c r="G25" s="215"/>
    </row>
    <row r="26" spans="1:7">
      <c r="A26" s="147" t="s">
        <v>145</v>
      </c>
      <c r="B26" s="150"/>
      <c r="C26" s="150"/>
      <c r="D26" s="150"/>
      <c r="E26" s="215">
        <v>2</v>
      </c>
      <c r="F26" s="215"/>
      <c r="G26" s="215"/>
    </row>
    <row r="27" spans="1:7">
      <c r="A27" s="153"/>
      <c r="B27" s="153"/>
      <c r="C27" s="153"/>
      <c r="D27" s="153"/>
      <c r="E27" s="153"/>
      <c r="F27" s="153"/>
      <c r="G27" s="153"/>
    </row>
    <row r="28" spans="1:7">
      <c r="A28" s="147" t="s">
        <v>41</v>
      </c>
      <c r="B28" s="147"/>
      <c r="C28" s="147"/>
      <c r="D28" s="147"/>
      <c r="E28" s="216" t="s">
        <v>134</v>
      </c>
      <c r="F28" s="216"/>
      <c r="G28" s="216"/>
    </row>
    <row r="29" spans="1:7">
      <c r="A29" s="147" t="s">
        <v>42</v>
      </c>
      <c r="B29" s="147"/>
      <c r="C29" s="147"/>
      <c r="D29" s="147"/>
      <c r="E29" s="207">
        <v>2859.58</v>
      </c>
      <c r="F29" s="207"/>
      <c r="G29" s="207"/>
    </row>
    <row r="30" spans="1:7">
      <c r="A30" s="147" t="s">
        <v>43</v>
      </c>
      <c r="B30" s="147"/>
      <c r="C30" s="147"/>
      <c r="D30" s="147"/>
      <c r="E30" s="149" t="s">
        <v>135</v>
      </c>
      <c r="F30" s="149"/>
      <c r="G30" s="149"/>
    </row>
    <row r="31" spans="1:7">
      <c r="A31" s="147" t="s">
        <v>44</v>
      </c>
      <c r="B31" s="147"/>
      <c r="C31" s="147"/>
      <c r="D31" s="147"/>
      <c r="E31" s="214">
        <f>'Vigilante 12X36 SEDE DIURNO'!E31:G31</f>
        <v>46023</v>
      </c>
      <c r="F31" s="149"/>
      <c r="G31" s="149"/>
    </row>
    <row r="32" spans="1:7">
      <c r="A32" s="211"/>
      <c r="B32" s="212"/>
      <c r="C32" s="212"/>
      <c r="D32" s="212"/>
      <c r="E32" s="212"/>
      <c r="F32" s="212"/>
      <c r="G32" s="213"/>
    </row>
    <row r="33" spans="1:7">
      <c r="A33" s="153" t="s">
        <v>45</v>
      </c>
      <c r="B33" s="153"/>
      <c r="C33" s="153"/>
      <c r="D33" s="153"/>
      <c r="E33" s="153"/>
      <c r="F33" s="153"/>
      <c r="G33" s="153"/>
    </row>
    <row r="34" spans="1:7">
      <c r="A34" s="180" t="s">
        <v>46</v>
      </c>
      <c r="B34" s="181"/>
      <c r="C34" s="181"/>
      <c r="D34" s="181"/>
      <c r="E34" s="21" t="s">
        <v>47</v>
      </c>
      <c r="F34" s="153" t="s">
        <v>48</v>
      </c>
      <c r="G34" s="155"/>
    </row>
    <row r="35" spans="1:7">
      <c r="A35" s="147" t="s">
        <v>49</v>
      </c>
      <c r="B35" s="147"/>
      <c r="C35" s="147"/>
      <c r="D35" s="147"/>
      <c r="E35" s="22"/>
      <c r="F35" s="207">
        <v>2859.58</v>
      </c>
      <c r="G35" s="207"/>
    </row>
    <row r="36" spans="1:7">
      <c r="A36" s="147" t="s">
        <v>50</v>
      </c>
      <c r="B36" s="147"/>
      <c r="C36" s="147"/>
      <c r="D36" s="147"/>
      <c r="E36" s="23">
        <v>30</v>
      </c>
      <c r="F36" s="207">
        <f>F35*30%</f>
        <v>857.87399999999991</v>
      </c>
      <c r="G36" s="207"/>
    </row>
    <row r="37" spans="1:7">
      <c r="A37" s="147" t="s">
        <v>210</v>
      </c>
      <c r="B37" s="147"/>
      <c r="C37" s="147"/>
      <c r="D37" s="147"/>
      <c r="E37" s="22"/>
      <c r="F37" s="207" t="s">
        <v>162</v>
      </c>
      <c r="G37" s="207"/>
    </row>
    <row r="38" spans="1:7">
      <c r="A38" s="210" t="s">
        <v>51</v>
      </c>
      <c r="B38" s="210"/>
      <c r="C38" s="210"/>
      <c r="D38" s="210"/>
      <c r="E38" s="210"/>
      <c r="F38" s="179">
        <f>SUM(F35:G37)</f>
        <v>3717.4539999999997</v>
      </c>
      <c r="G38" s="179"/>
    </row>
    <row r="39" spans="1:7">
      <c r="A39" s="200"/>
      <c r="B39" s="201"/>
      <c r="C39" s="201"/>
      <c r="D39" s="201"/>
      <c r="E39" s="201"/>
      <c r="F39" s="201"/>
      <c r="G39" s="202"/>
    </row>
    <row r="40" spans="1:7">
      <c r="A40" s="153" t="s">
        <v>178</v>
      </c>
      <c r="B40" s="153"/>
      <c r="C40" s="153"/>
      <c r="D40" s="153"/>
      <c r="E40" s="153"/>
      <c r="F40" s="153"/>
      <c r="G40" s="153"/>
    </row>
    <row r="41" spans="1:7">
      <c r="A41" s="180" t="s">
        <v>52</v>
      </c>
      <c r="B41" s="181"/>
      <c r="C41" s="181"/>
      <c r="D41" s="181"/>
      <c r="E41" s="182"/>
      <c r="F41" s="153" t="s">
        <v>48</v>
      </c>
      <c r="G41" s="155"/>
    </row>
    <row r="42" spans="1:7">
      <c r="A42" s="189" t="s">
        <v>139</v>
      </c>
      <c r="B42" s="190"/>
      <c r="C42" s="190"/>
      <c r="D42" s="190"/>
      <c r="E42" s="191"/>
      <c r="F42" s="207" t="s">
        <v>162</v>
      </c>
      <c r="G42" s="207"/>
    </row>
    <row r="43" spans="1:7">
      <c r="A43" s="174" t="s">
        <v>175</v>
      </c>
      <c r="B43" s="175"/>
      <c r="C43" s="175"/>
      <c r="D43" s="175"/>
      <c r="E43" s="176"/>
      <c r="F43" s="207">
        <f>'Vigilante 12X36 SEDE DIURNO'!F43:G43</f>
        <v>739.77485400000012</v>
      </c>
      <c r="G43" s="207"/>
    </row>
    <row r="44" spans="1:7">
      <c r="A44" s="174" t="s">
        <v>184</v>
      </c>
      <c r="B44" s="175"/>
      <c r="C44" s="175"/>
      <c r="D44" s="175"/>
      <c r="E44" s="176"/>
      <c r="F44" s="207">
        <f>'Vigilante 12X36 SEDE DIURNO'!F44:G44</f>
        <v>171.87</v>
      </c>
      <c r="G44" s="207"/>
    </row>
    <row r="45" spans="1:7" ht="15" customHeight="1">
      <c r="A45" s="189" t="s">
        <v>185</v>
      </c>
      <c r="B45" s="190"/>
      <c r="C45" s="190"/>
      <c r="D45" s="190"/>
      <c r="E45" s="191"/>
      <c r="F45" s="208">
        <v>19.899999999999999</v>
      </c>
      <c r="G45" s="208"/>
    </row>
    <row r="46" spans="1:7" ht="15" customHeight="1">
      <c r="A46" s="171" t="s">
        <v>205</v>
      </c>
      <c r="B46" s="172"/>
      <c r="C46" s="172"/>
      <c r="D46" s="172"/>
      <c r="E46" s="173"/>
      <c r="F46" s="207">
        <f>'Vigilante 12X36 SEDE DIURNO'!F46:G46</f>
        <v>11.34</v>
      </c>
      <c r="G46" s="207"/>
    </row>
    <row r="47" spans="1:7" ht="15" customHeight="1">
      <c r="A47" s="171" t="s">
        <v>177</v>
      </c>
      <c r="B47" s="172"/>
      <c r="C47" s="172"/>
      <c r="D47" s="172"/>
      <c r="E47" s="173"/>
      <c r="F47" s="205">
        <f>'Vigilante 12X36 SEDE DIURNO'!F47:G47</f>
        <v>19.04</v>
      </c>
      <c r="G47" s="206"/>
    </row>
    <row r="48" spans="1:7">
      <c r="A48" s="234" t="s">
        <v>180</v>
      </c>
      <c r="B48" s="235"/>
      <c r="C48" s="235"/>
      <c r="D48" s="235"/>
      <c r="E48" s="236"/>
      <c r="F48" s="237">
        <f>F38/220*15.21*1.5</f>
        <v>385.51687731818186</v>
      </c>
      <c r="G48" s="238"/>
    </row>
    <row r="49" spans="1:7">
      <c r="A49" s="150" t="s">
        <v>53</v>
      </c>
      <c r="B49" s="150"/>
      <c r="C49" s="150"/>
      <c r="D49" s="150"/>
      <c r="E49" s="150"/>
      <c r="F49" s="152">
        <f>SUM(F42:G48)</f>
        <v>1347.4417313181821</v>
      </c>
      <c r="G49" s="152"/>
    </row>
    <row r="50" spans="1:7">
      <c r="A50" s="153" t="s">
        <v>54</v>
      </c>
      <c r="B50" s="153"/>
      <c r="C50" s="153"/>
      <c r="D50" s="153"/>
      <c r="E50" s="153"/>
      <c r="F50" s="153"/>
      <c r="G50" s="153"/>
    </row>
    <row r="51" spans="1:7">
      <c r="A51" s="186" t="s">
        <v>179</v>
      </c>
      <c r="B51" s="187"/>
      <c r="C51" s="187"/>
      <c r="D51" s="187"/>
      <c r="E51" s="188"/>
      <c r="F51" s="153" t="s">
        <v>48</v>
      </c>
      <c r="G51" s="155"/>
    </row>
    <row r="52" spans="1:7">
      <c r="A52" s="147" t="s">
        <v>55</v>
      </c>
      <c r="B52" s="147"/>
      <c r="C52" s="147"/>
      <c r="D52" s="147"/>
      <c r="E52" s="147"/>
      <c r="F52" s="207">
        <f>Uniforme!H17</f>
        <v>57.495000000000005</v>
      </c>
      <c r="G52" s="207"/>
    </row>
    <row r="53" spans="1:7">
      <c r="A53" s="189" t="s">
        <v>56</v>
      </c>
      <c r="B53" s="190"/>
      <c r="C53" s="190"/>
      <c r="D53" s="190"/>
      <c r="E53" s="191"/>
      <c r="F53" s="205">
        <f>Equipamentos!J18</f>
        <v>46.299699702380956</v>
      </c>
      <c r="G53" s="206"/>
    </row>
    <row r="54" spans="1:7">
      <c r="A54" s="174" t="s">
        <v>57</v>
      </c>
      <c r="B54" s="175"/>
      <c r="C54" s="175"/>
      <c r="D54" s="175"/>
      <c r="E54" s="176"/>
      <c r="F54" s="205">
        <f>Material!I18</f>
        <v>12.91077380952381</v>
      </c>
      <c r="G54" s="206"/>
    </row>
    <row r="55" spans="1:7">
      <c r="A55" s="174" t="s">
        <v>138</v>
      </c>
      <c r="B55" s="175"/>
      <c r="C55" s="175"/>
      <c r="D55" s="175"/>
      <c r="E55" s="176"/>
      <c r="F55" s="205"/>
      <c r="G55" s="206"/>
    </row>
    <row r="56" spans="1:7">
      <c r="A56" s="150" t="s">
        <v>58</v>
      </c>
      <c r="B56" s="151"/>
      <c r="C56" s="151"/>
      <c r="D56" s="151"/>
      <c r="E56" s="151"/>
      <c r="F56" s="152">
        <f>SUM(F52:G55)</f>
        <v>116.70547351190478</v>
      </c>
      <c r="G56" s="152"/>
    </row>
    <row r="57" spans="1:7">
      <c r="A57" s="200"/>
      <c r="B57" s="201"/>
      <c r="C57" s="201"/>
      <c r="D57" s="201"/>
      <c r="E57" s="201"/>
      <c r="F57" s="201"/>
      <c r="G57" s="202"/>
    </row>
    <row r="58" spans="1:7">
      <c r="A58" s="153" t="s">
        <v>59</v>
      </c>
      <c r="B58" s="153"/>
      <c r="C58" s="153"/>
      <c r="D58" s="153"/>
      <c r="E58" s="153"/>
      <c r="F58" s="153"/>
      <c r="G58" s="153"/>
    </row>
    <row r="59" spans="1:7">
      <c r="A59" s="153" t="s">
        <v>60</v>
      </c>
      <c r="B59" s="153"/>
      <c r="C59" s="153"/>
      <c r="D59" s="153"/>
      <c r="E59" s="153"/>
      <c r="F59" s="153"/>
      <c r="G59" s="153"/>
    </row>
    <row r="60" spans="1:7">
      <c r="A60" s="154" t="s">
        <v>61</v>
      </c>
      <c r="B60" s="154"/>
      <c r="C60" s="154"/>
      <c r="D60" s="154"/>
      <c r="E60" s="25" t="s">
        <v>62</v>
      </c>
      <c r="F60" s="153" t="s">
        <v>48</v>
      </c>
      <c r="G60" s="155"/>
    </row>
    <row r="61" spans="1:7">
      <c r="A61" s="198" t="s">
        <v>63</v>
      </c>
      <c r="B61" s="198"/>
      <c r="C61" s="198"/>
      <c r="D61" s="198"/>
      <c r="E61" s="26">
        <v>0.2</v>
      </c>
      <c r="F61" s="170">
        <f>E61*F38</f>
        <v>743.49080000000004</v>
      </c>
      <c r="G61" s="170"/>
    </row>
    <row r="62" spans="1:7">
      <c r="A62" s="198" t="s">
        <v>64</v>
      </c>
      <c r="B62" s="198"/>
      <c r="C62" s="198"/>
      <c r="D62" s="198"/>
      <c r="E62" s="26">
        <v>1.4999999999999999E-2</v>
      </c>
      <c r="F62" s="170">
        <f>E62*F38</f>
        <v>55.761809999999997</v>
      </c>
      <c r="G62" s="170"/>
    </row>
    <row r="63" spans="1:7">
      <c r="A63" s="198" t="s">
        <v>65</v>
      </c>
      <c r="B63" s="198"/>
      <c r="C63" s="198"/>
      <c r="D63" s="198"/>
      <c r="E63" s="26">
        <v>0.01</v>
      </c>
      <c r="F63" s="170">
        <f>E63*F38</f>
        <v>37.17454</v>
      </c>
      <c r="G63" s="170"/>
    </row>
    <row r="64" spans="1:7">
      <c r="A64" s="198" t="s">
        <v>66</v>
      </c>
      <c r="B64" s="198"/>
      <c r="C64" s="198"/>
      <c r="D64" s="198"/>
      <c r="E64" s="26">
        <v>2E-3</v>
      </c>
      <c r="F64" s="170">
        <f>E64*F38</f>
        <v>7.4349079999999992</v>
      </c>
      <c r="G64" s="170"/>
    </row>
    <row r="65" spans="1:7">
      <c r="A65" s="198" t="s">
        <v>67</v>
      </c>
      <c r="B65" s="198"/>
      <c r="C65" s="198"/>
      <c r="D65" s="198"/>
      <c r="E65" s="26">
        <v>2.5000000000000001E-2</v>
      </c>
      <c r="F65" s="170">
        <f>E65*F38</f>
        <v>92.936350000000004</v>
      </c>
      <c r="G65" s="170"/>
    </row>
    <row r="66" spans="1:7">
      <c r="A66" s="198" t="s">
        <v>68</v>
      </c>
      <c r="B66" s="198"/>
      <c r="C66" s="198"/>
      <c r="D66" s="198"/>
      <c r="E66" s="26">
        <v>0.08</v>
      </c>
      <c r="F66" s="170">
        <f>E66*F38</f>
        <v>297.39632</v>
      </c>
      <c r="G66" s="170"/>
    </row>
    <row r="67" spans="1:7">
      <c r="A67" s="199" t="s">
        <v>69</v>
      </c>
      <c r="B67" s="199"/>
      <c r="C67" s="199"/>
      <c r="D67" s="199"/>
      <c r="E67" s="102">
        <v>0.03</v>
      </c>
      <c r="F67" s="170">
        <f>E67*F38</f>
        <v>111.52361999999999</v>
      </c>
      <c r="G67" s="170"/>
    </row>
    <row r="68" spans="1:7">
      <c r="A68" s="198" t="s">
        <v>70</v>
      </c>
      <c r="B68" s="198"/>
      <c r="C68" s="198"/>
      <c r="D68" s="198"/>
      <c r="E68" s="26">
        <v>6.0000000000000001E-3</v>
      </c>
      <c r="F68" s="170">
        <f>E68*F38</f>
        <v>22.304724</v>
      </c>
      <c r="G68" s="170"/>
    </row>
    <row r="69" spans="1:7">
      <c r="A69" s="150" t="s">
        <v>71</v>
      </c>
      <c r="B69" s="150"/>
      <c r="C69" s="150"/>
      <c r="D69" s="150"/>
      <c r="E69" s="27">
        <f>SUM(E61:E68)</f>
        <v>0.3680000000000001</v>
      </c>
      <c r="F69" s="152">
        <f>SUM(F61:G68)</f>
        <v>1368.023072</v>
      </c>
      <c r="G69" s="152"/>
    </row>
    <row r="70" spans="1:7">
      <c r="A70" s="153" t="s">
        <v>72</v>
      </c>
      <c r="B70" s="153"/>
      <c r="C70" s="153"/>
      <c r="D70" s="153"/>
      <c r="E70" s="153"/>
      <c r="F70" s="153"/>
      <c r="G70" s="153"/>
    </row>
    <row r="71" spans="1:7">
      <c r="A71" s="180" t="s">
        <v>73</v>
      </c>
      <c r="B71" s="181"/>
      <c r="C71" s="181"/>
      <c r="D71" s="181"/>
      <c r="E71" s="182"/>
      <c r="F71" s="153" t="s">
        <v>48</v>
      </c>
      <c r="G71" s="155"/>
    </row>
    <row r="72" spans="1:7">
      <c r="A72" s="189" t="s">
        <v>74</v>
      </c>
      <c r="B72" s="190"/>
      <c r="C72" s="190"/>
      <c r="D72" s="190"/>
      <c r="E72" s="191"/>
      <c r="F72" s="170">
        <f>F38/12</f>
        <v>309.78783333333331</v>
      </c>
      <c r="G72" s="170"/>
    </row>
    <row r="73" spans="1:7">
      <c r="A73" s="192" t="s">
        <v>75</v>
      </c>
      <c r="B73" s="193"/>
      <c r="C73" s="193"/>
      <c r="D73" s="193"/>
      <c r="E73" s="194"/>
      <c r="F73" s="170">
        <f>F38/3/12</f>
        <v>103.2626111111111</v>
      </c>
      <c r="G73" s="170"/>
    </row>
    <row r="74" spans="1:7">
      <c r="A74" s="195" t="s">
        <v>211</v>
      </c>
      <c r="B74" s="196"/>
      <c r="C74" s="196"/>
      <c r="D74" s="196"/>
      <c r="E74" s="197"/>
      <c r="F74" s="152">
        <f>SUM(F72:G73)</f>
        <v>413.05044444444439</v>
      </c>
      <c r="G74" s="152"/>
    </row>
    <row r="75" spans="1:7">
      <c r="A75" s="174" t="s">
        <v>77</v>
      </c>
      <c r="B75" s="175"/>
      <c r="C75" s="175"/>
      <c r="D75" s="175"/>
      <c r="E75" s="176"/>
      <c r="F75" s="170">
        <f>F74*E69</f>
        <v>152.00256355555558</v>
      </c>
      <c r="G75" s="170"/>
    </row>
    <row r="76" spans="1:7">
      <c r="A76" s="150" t="s">
        <v>78</v>
      </c>
      <c r="B76" s="150"/>
      <c r="C76" s="150"/>
      <c r="D76" s="150"/>
      <c r="E76" s="150"/>
      <c r="F76" s="152">
        <f>SUM(F72,F73,F75)</f>
        <v>565.05300799999998</v>
      </c>
      <c r="G76" s="152"/>
    </row>
    <row r="77" spans="1:7">
      <c r="A77" s="153" t="s">
        <v>79</v>
      </c>
      <c r="B77" s="153"/>
      <c r="C77" s="153"/>
      <c r="D77" s="153"/>
      <c r="E77" s="153"/>
      <c r="F77" s="153"/>
      <c r="G77" s="153"/>
    </row>
    <row r="78" spans="1:7">
      <c r="A78" s="186" t="s">
        <v>80</v>
      </c>
      <c r="B78" s="187"/>
      <c r="C78" s="187"/>
      <c r="D78" s="187"/>
      <c r="E78" s="188"/>
      <c r="F78" s="153" t="s">
        <v>48</v>
      </c>
      <c r="G78" s="155"/>
    </row>
    <row r="79" spans="1:7">
      <c r="A79" s="171" t="s">
        <v>168</v>
      </c>
      <c r="B79" s="172"/>
      <c r="C79" s="172"/>
      <c r="D79" s="172"/>
      <c r="E79" s="173"/>
      <c r="F79" s="170">
        <f>(F38/3+F38)*0.333/12*0.01</f>
        <v>1.37545798</v>
      </c>
      <c r="G79" s="170"/>
    </row>
    <row r="80" spans="1:7">
      <c r="A80" s="147" t="s">
        <v>81</v>
      </c>
      <c r="B80" s="147"/>
      <c r="C80" s="147"/>
      <c r="D80" s="147"/>
      <c r="E80" s="147"/>
      <c r="F80" s="170">
        <f>E69*F79</f>
        <v>0.50616853664000017</v>
      </c>
      <c r="G80" s="170"/>
    </row>
    <row r="81" spans="1:7">
      <c r="A81" s="150" t="s">
        <v>82</v>
      </c>
      <c r="B81" s="150"/>
      <c r="C81" s="150"/>
      <c r="D81" s="150"/>
      <c r="E81" s="150"/>
      <c r="F81" s="152">
        <f>SUM(F79:G80)</f>
        <v>1.8816265166400001</v>
      </c>
      <c r="G81" s="152"/>
    </row>
    <row r="82" spans="1:7">
      <c r="A82" s="153" t="s">
        <v>83</v>
      </c>
      <c r="B82" s="153"/>
      <c r="C82" s="153"/>
      <c r="D82" s="153"/>
      <c r="E82" s="153"/>
      <c r="F82" s="153"/>
      <c r="G82" s="153"/>
    </row>
    <row r="83" spans="1:7">
      <c r="A83" s="180" t="s">
        <v>84</v>
      </c>
      <c r="B83" s="181"/>
      <c r="C83" s="181"/>
      <c r="D83" s="181"/>
      <c r="E83" s="182"/>
      <c r="F83" s="153" t="s">
        <v>48</v>
      </c>
      <c r="G83" s="155"/>
    </row>
    <row r="84" spans="1:7">
      <c r="A84" s="171" t="s">
        <v>166</v>
      </c>
      <c r="B84" s="172"/>
      <c r="C84" s="172"/>
      <c r="D84" s="172"/>
      <c r="E84" s="173"/>
      <c r="F84" s="170">
        <f>(F38/12)*0.01</f>
        <v>3.0978783333333331</v>
      </c>
      <c r="G84" s="170"/>
    </row>
    <row r="85" spans="1:7">
      <c r="A85" s="147" t="s">
        <v>85</v>
      </c>
      <c r="B85" s="147"/>
      <c r="C85" s="147"/>
      <c r="D85" s="147"/>
      <c r="E85" s="147"/>
      <c r="F85" s="185">
        <f>F84*E66</f>
        <v>0.24783026666666666</v>
      </c>
      <c r="G85" s="170"/>
    </row>
    <row r="86" spans="1:7">
      <c r="A86" s="171" t="s">
        <v>86</v>
      </c>
      <c r="B86" s="172"/>
      <c r="C86" s="172"/>
      <c r="D86" s="172"/>
      <c r="E86" s="173"/>
      <c r="F86" s="170">
        <f>F85*0.4</f>
        <v>9.9132106666666664E-2</v>
      </c>
      <c r="G86" s="170"/>
    </row>
    <row r="87" spans="1:7" ht="15" customHeight="1">
      <c r="A87" s="171" t="s">
        <v>212</v>
      </c>
      <c r="B87" s="172"/>
      <c r="C87" s="172"/>
      <c r="D87" s="172"/>
      <c r="E87" s="173"/>
      <c r="F87" s="170">
        <f>(F38/30)*0.7/12</f>
        <v>7.2283827777777772</v>
      </c>
      <c r="G87" s="170"/>
    </row>
    <row r="88" spans="1:7">
      <c r="A88" s="147" t="s">
        <v>87</v>
      </c>
      <c r="B88" s="147"/>
      <c r="C88" s="147"/>
      <c r="D88" s="147"/>
      <c r="E88" s="147"/>
      <c r="F88" s="185">
        <f>F87*E69</f>
        <v>2.6600448622222226</v>
      </c>
      <c r="G88" s="170"/>
    </row>
    <row r="89" spans="1:7">
      <c r="A89" s="171" t="s">
        <v>88</v>
      </c>
      <c r="B89" s="172"/>
      <c r="C89" s="172"/>
      <c r="D89" s="172"/>
      <c r="E89" s="173"/>
      <c r="F89" s="170">
        <f>(F38*E66)*0.4</f>
        <v>118.958528</v>
      </c>
      <c r="G89" s="170"/>
    </row>
    <row r="90" spans="1:7">
      <c r="A90" s="150" t="s">
        <v>89</v>
      </c>
      <c r="B90" s="150"/>
      <c r="C90" s="150"/>
      <c r="D90" s="150"/>
      <c r="E90" s="150"/>
      <c r="F90" s="179">
        <f>SUM(F84:F89)</f>
        <v>132.29179634666667</v>
      </c>
      <c r="G90" s="179"/>
    </row>
    <row r="91" spans="1:7">
      <c r="A91" s="180" t="s">
        <v>90</v>
      </c>
      <c r="B91" s="181"/>
      <c r="C91" s="181"/>
      <c r="D91" s="181"/>
      <c r="E91" s="181"/>
      <c r="F91" s="181"/>
      <c r="G91" s="182"/>
    </row>
    <row r="92" spans="1:7">
      <c r="A92" s="180" t="s">
        <v>91</v>
      </c>
      <c r="B92" s="181"/>
      <c r="C92" s="181"/>
      <c r="D92" s="181"/>
      <c r="E92" s="182"/>
      <c r="F92" s="180" t="s">
        <v>48</v>
      </c>
      <c r="G92" s="183"/>
    </row>
    <row r="93" spans="1:7">
      <c r="A93" s="171" t="s">
        <v>92</v>
      </c>
      <c r="B93" s="172"/>
      <c r="C93" s="172"/>
      <c r="D93" s="172"/>
      <c r="E93" s="173"/>
      <c r="F93" s="170">
        <f>F38/12</f>
        <v>309.78783333333331</v>
      </c>
      <c r="G93" s="170"/>
    </row>
    <row r="94" spans="1:7">
      <c r="A94" s="171" t="s">
        <v>167</v>
      </c>
      <c r="B94" s="172"/>
      <c r="C94" s="172"/>
      <c r="D94" s="172"/>
      <c r="E94" s="173"/>
      <c r="F94" s="170">
        <f>(F38/30)*1/12</f>
        <v>10.32626111111111</v>
      </c>
      <c r="G94" s="170"/>
    </row>
    <row r="95" spans="1:7" ht="15" customHeight="1">
      <c r="A95" s="171" t="s">
        <v>214</v>
      </c>
      <c r="B95" s="172"/>
      <c r="C95" s="172"/>
      <c r="D95" s="172"/>
      <c r="E95" s="173"/>
      <c r="F95" s="177">
        <f>(F38/30*5)/12*0.0157</f>
        <v>0.81061149722222203</v>
      </c>
      <c r="G95" s="178"/>
    </row>
    <row r="96" spans="1:7" ht="15" customHeight="1">
      <c r="A96" s="171" t="s">
        <v>213</v>
      </c>
      <c r="B96" s="172"/>
      <c r="C96" s="172"/>
      <c r="D96" s="172"/>
      <c r="E96" s="173"/>
      <c r="F96" s="170">
        <f>(F38/30*3)/12*0.3</f>
        <v>9.2936350000000001</v>
      </c>
      <c r="G96" s="170"/>
    </row>
    <row r="97" spans="1:7" ht="15" customHeight="1">
      <c r="A97" s="171" t="s">
        <v>215</v>
      </c>
      <c r="B97" s="172"/>
      <c r="C97" s="172"/>
      <c r="D97" s="172"/>
      <c r="E97" s="173"/>
      <c r="F97" s="162">
        <f>(F38/30*15)/12*0.012</f>
        <v>1.8587269999999998</v>
      </c>
      <c r="G97" s="162"/>
    </row>
    <row r="98" spans="1:7">
      <c r="A98" s="174" t="s">
        <v>93</v>
      </c>
      <c r="B98" s="175"/>
      <c r="C98" s="175"/>
      <c r="D98" s="175"/>
      <c r="E98" s="176"/>
      <c r="F98" s="170">
        <f>F38*E98</f>
        <v>0</v>
      </c>
      <c r="G98" s="170"/>
    </row>
    <row r="99" spans="1:7">
      <c r="A99" s="150" t="s">
        <v>76</v>
      </c>
      <c r="B99" s="150"/>
      <c r="C99" s="150"/>
      <c r="D99" s="150"/>
      <c r="E99" s="150"/>
      <c r="F99" s="152">
        <f>SUM(F93:G98)</f>
        <v>332.07706794166666</v>
      </c>
      <c r="G99" s="152"/>
    </row>
    <row r="100" spans="1:7">
      <c r="A100" s="147" t="s">
        <v>94</v>
      </c>
      <c r="B100" s="147"/>
      <c r="C100" s="147"/>
      <c r="D100" s="147"/>
      <c r="E100" s="147"/>
      <c r="F100" s="170">
        <f>F99*E69</f>
        <v>122.20436100253336</v>
      </c>
      <c r="G100" s="170"/>
    </row>
    <row r="101" spans="1:7">
      <c r="A101" s="150" t="s">
        <v>95</v>
      </c>
      <c r="B101" s="150"/>
      <c r="C101" s="150"/>
      <c r="D101" s="150"/>
      <c r="E101" s="150"/>
      <c r="F101" s="152">
        <f>F99+F100</f>
        <v>454.2814289442</v>
      </c>
      <c r="G101" s="152"/>
    </row>
    <row r="102" spans="1:7">
      <c r="A102" s="153" t="s">
        <v>96</v>
      </c>
      <c r="B102" s="153"/>
      <c r="C102" s="153"/>
      <c r="D102" s="153"/>
      <c r="E102" s="153"/>
      <c r="F102" s="153"/>
      <c r="G102" s="153"/>
    </row>
    <row r="103" spans="1:7">
      <c r="A103" s="154" t="s">
        <v>97</v>
      </c>
      <c r="B103" s="154"/>
      <c r="C103" s="154"/>
      <c r="D103" s="154"/>
      <c r="E103" s="154"/>
      <c r="F103" s="153" t="s">
        <v>48</v>
      </c>
      <c r="G103" s="155"/>
    </row>
    <row r="104" spans="1:7">
      <c r="A104" s="147" t="s">
        <v>61</v>
      </c>
      <c r="B104" s="147"/>
      <c r="C104" s="147"/>
      <c r="D104" s="147"/>
      <c r="E104" s="147"/>
      <c r="F104" s="148">
        <f>F69</f>
        <v>1368.023072</v>
      </c>
      <c r="G104" s="149"/>
    </row>
    <row r="105" spans="1:7">
      <c r="A105" s="147" t="s">
        <v>73</v>
      </c>
      <c r="B105" s="147"/>
      <c r="C105" s="147"/>
      <c r="D105" s="147"/>
      <c r="E105" s="147"/>
      <c r="F105" s="148">
        <f>F76</f>
        <v>565.05300799999998</v>
      </c>
      <c r="G105" s="149"/>
    </row>
    <row r="106" spans="1:7">
      <c r="A106" s="147" t="s">
        <v>80</v>
      </c>
      <c r="B106" s="147"/>
      <c r="C106" s="147"/>
      <c r="D106" s="147"/>
      <c r="E106" s="147"/>
      <c r="F106" s="148">
        <f>F81</f>
        <v>1.8816265166400001</v>
      </c>
      <c r="G106" s="149"/>
    </row>
    <row r="107" spans="1:7">
      <c r="A107" s="147" t="s">
        <v>84</v>
      </c>
      <c r="B107" s="147"/>
      <c r="C107" s="147"/>
      <c r="D107" s="147"/>
      <c r="E107" s="147"/>
      <c r="F107" s="148">
        <f>F90</f>
        <v>132.29179634666667</v>
      </c>
      <c r="G107" s="149"/>
    </row>
    <row r="108" spans="1:7">
      <c r="A108" s="147" t="s">
        <v>91</v>
      </c>
      <c r="B108" s="147"/>
      <c r="C108" s="147"/>
      <c r="D108" s="147"/>
      <c r="E108" s="147"/>
      <c r="F108" s="148">
        <f>F101</f>
        <v>454.2814289442</v>
      </c>
      <c r="G108" s="149"/>
    </row>
    <row r="109" spans="1:7">
      <c r="A109" s="147" t="s">
        <v>158</v>
      </c>
      <c r="B109" s="147"/>
      <c r="C109" s="147"/>
      <c r="D109" s="147"/>
      <c r="E109" s="147"/>
      <c r="F109" s="148">
        <v>0</v>
      </c>
      <c r="G109" s="149"/>
    </row>
    <row r="110" spans="1:7">
      <c r="A110" s="150" t="s">
        <v>98</v>
      </c>
      <c r="B110" s="151"/>
      <c r="C110" s="151"/>
      <c r="D110" s="151"/>
      <c r="E110" s="151"/>
      <c r="F110" s="152">
        <f>SUM(F104:G109)</f>
        <v>2521.5309318075065</v>
      </c>
      <c r="G110" s="152"/>
    </row>
    <row r="111" spans="1:7">
      <c r="A111" s="169"/>
      <c r="B111" s="169"/>
      <c r="C111" s="169"/>
      <c r="D111" s="169"/>
      <c r="E111" s="169"/>
      <c r="F111" s="169"/>
      <c r="G111" s="169"/>
    </row>
    <row r="112" spans="1:7">
      <c r="A112" s="153" t="s">
        <v>99</v>
      </c>
      <c r="B112" s="153"/>
      <c r="C112" s="153"/>
      <c r="D112" s="153"/>
      <c r="E112" s="153"/>
      <c r="F112" s="153"/>
      <c r="G112" s="153"/>
    </row>
    <row r="113" spans="1:7">
      <c r="A113" s="153" t="s">
        <v>100</v>
      </c>
      <c r="B113" s="153"/>
      <c r="C113" s="153"/>
      <c r="D113" s="153"/>
      <c r="E113" s="153"/>
      <c r="F113" s="153"/>
      <c r="G113" s="153"/>
    </row>
    <row r="114" spans="1:7">
      <c r="A114" s="154" t="s">
        <v>101</v>
      </c>
      <c r="B114" s="154"/>
      <c r="C114" s="154"/>
      <c r="D114" s="154"/>
      <c r="E114" s="25" t="s">
        <v>62</v>
      </c>
      <c r="F114" s="153" t="s">
        <v>48</v>
      </c>
      <c r="G114" s="155"/>
    </row>
    <row r="115" spans="1:7" ht="24.75" customHeight="1">
      <c r="A115" s="168" t="s">
        <v>217</v>
      </c>
      <c r="B115" s="168"/>
      <c r="C115" s="168"/>
      <c r="D115" s="168"/>
      <c r="E115" s="103">
        <v>2.75E-2</v>
      </c>
      <c r="F115" s="148">
        <f>(F38+F49+F56+F110)*E115</f>
        <v>211.83613375753379</v>
      </c>
      <c r="G115" s="155"/>
    </row>
    <row r="116" spans="1:7">
      <c r="A116" s="153" t="s">
        <v>102</v>
      </c>
      <c r="B116" s="153"/>
      <c r="C116" s="153"/>
      <c r="D116" s="153"/>
      <c r="E116" s="153"/>
      <c r="F116" s="153"/>
      <c r="G116" s="153"/>
    </row>
    <row r="117" spans="1:7">
      <c r="A117" s="154" t="s">
        <v>103</v>
      </c>
      <c r="B117" s="154"/>
      <c r="C117" s="154"/>
      <c r="D117" s="154"/>
      <c r="E117" s="25" t="s">
        <v>62</v>
      </c>
      <c r="F117" s="153" t="s">
        <v>48</v>
      </c>
      <c r="G117" s="155"/>
    </row>
    <row r="118" spans="1:7" ht="26.25" customHeight="1">
      <c r="A118" s="168" t="s">
        <v>218</v>
      </c>
      <c r="B118" s="168"/>
      <c r="C118" s="168"/>
      <c r="D118" s="168"/>
      <c r="E118" s="104">
        <v>1.6299999999999999E-2</v>
      </c>
      <c r="F118" s="148">
        <f>SUM(F38,F49,F56,F110,F115)*E118</f>
        <v>129.01398280744053</v>
      </c>
      <c r="G118" s="155"/>
    </row>
    <row r="119" spans="1:7">
      <c r="A119" s="153" t="s">
        <v>104</v>
      </c>
      <c r="B119" s="153"/>
      <c r="C119" s="153"/>
      <c r="D119" s="153"/>
      <c r="E119" s="153"/>
      <c r="F119" s="153"/>
      <c r="G119" s="153"/>
    </row>
    <row r="120" spans="1:7">
      <c r="A120" s="154" t="s">
        <v>105</v>
      </c>
      <c r="B120" s="154"/>
      <c r="C120" s="154"/>
      <c r="D120" s="154"/>
      <c r="E120" s="154"/>
      <c r="F120" s="153" t="s">
        <v>48</v>
      </c>
      <c r="G120" s="155"/>
    </row>
    <row r="121" spans="1:7">
      <c r="A121" s="154" t="s">
        <v>106</v>
      </c>
      <c r="B121" s="154"/>
      <c r="C121" s="154"/>
      <c r="D121" s="154"/>
      <c r="E121" s="154"/>
      <c r="F121" s="167" t="s">
        <v>47</v>
      </c>
      <c r="G121" s="167"/>
    </row>
    <row r="122" spans="1:7">
      <c r="A122" s="147" t="s">
        <v>107</v>
      </c>
      <c r="B122" s="147"/>
      <c r="C122" s="147"/>
      <c r="D122" s="147"/>
      <c r="E122" s="147"/>
      <c r="F122" s="165">
        <f>'PIS-COFINS'!F18</f>
        <v>1.6499999999999997</v>
      </c>
      <c r="G122" s="165"/>
    </row>
    <row r="123" spans="1:7">
      <c r="A123" s="147" t="s">
        <v>108</v>
      </c>
      <c r="B123" s="147"/>
      <c r="C123" s="147"/>
      <c r="D123" s="147"/>
      <c r="E123" s="147"/>
      <c r="F123" s="165">
        <f>'PIS-COFINS'!F34</f>
        <v>7.5999999999999988</v>
      </c>
      <c r="G123" s="165"/>
    </row>
    <row r="124" spans="1:7">
      <c r="A124" s="154" t="s">
        <v>109</v>
      </c>
      <c r="B124" s="154"/>
      <c r="C124" s="154"/>
      <c r="D124" s="154"/>
      <c r="E124" s="154"/>
      <c r="F124" s="167" t="s">
        <v>47</v>
      </c>
      <c r="G124" s="167"/>
    </row>
    <row r="125" spans="1:7">
      <c r="A125" s="147" t="s">
        <v>110</v>
      </c>
      <c r="B125" s="147"/>
      <c r="C125" s="147"/>
      <c r="D125" s="147"/>
      <c r="E125" s="147"/>
      <c r="F125" s="165">
        <v>5</v>
      </c>
      <c r="G125" s="165"/>
    </row>
    <row r="126" spans="1:7">
      <c r="A126" s="154" t="s">
        <v>111</v>
      </c>
      <c r="B126" s="154"/>
      <c r="C126" s="154"/>
      <c r="D126" s="154"/>
      <c r="E126" s="154"/>
      <c r="F126" s="167" t="s">
        <v>47</v>
      </c>
      <c r="G126" s="167"/>
    </row>
    <row r="127" spans="1:7">
      <c r="A127" s="147" t="s">
        <v>112</v>
      </c>
      <c r="B127" s="147"/>
      <c r="C127" s="147"/>
      <c r="D127" s="147"/>
      <c r="E127" s="147"/>
      <c r="F127" s="165">
        <v>0</v>
      </c>
      <c r="G127" s="165"/>
    </row>
    <row r="128" spans="1:7">
      <c r="A128" s="150" t="s">
        <v>113</v>
      </c>
      <c r="B128" s="150"/>
      <c r="C128" s="150"/>
      <c r="D128" s="150"/>
      <c r="E128" s="150"/>
      <c r="F128" s="165">
        <f>SUM(F122,F123,F125,F127)</f>
        <v>14.249999999999998</v>
      </c>
      <c r="G128" s="165"/>
    </row>
    <row r="129" spans="1:7">
      <c r="A129" s="156" t="s">
        <v>114</v>
      </c>
      <c r="B129" s="156"/>
      <c r="C129" s="156"/>
      <c r="D129" s="163">
        <f>F128/100</f>
        <v>0.14249999999999999</v>
      </c>
      <c r="E129" s="163"/>
      <c r="F129" s="166"/>
      <c r="G129" s="166"/>
    </row>
    <row r="130" spans="1:7">
      <c r="A130" s="160" t="s">
        <v>115</v>
      </c>
      <c r="B130" s="160"/>
      <c r="C130" s="160"/>
      <c r="D130" s="161" t="s">
        <v>116</v>
      </c>
      <c r="E130" s="161"/>
      <c r="F130" s="162">
        <f>SUM(F38,F49,F56,F110,F115,F118)</f>
        <v>8043.9822532025664</v>
      </c>
      <c r="G130" s="162"/>
    </row>
    <row r="131" spans="1:7">
      <c r="A131" s="156" t="s">
        <v>117</v>
      </c>
      <c r="B131" s="156"/>
      <c r="C131" s="156"/>
      <c r="D131" s="163">
        <f>1-D129</f>
        <v>0.85750000000000004</v>
      </c>
      <c r="E131" s="163"/>
      <c r="F131" s="164"/>
      <c r="G131" s="164"/>
    </row>
    <row r="132" spans="1:7">
      <c r="A132" s="156" t="s">
        <v>118</v>
      </c>
      <c r="B132" s="156"/>
      <c r="C132" s="156"/>
      <c r="D132" s="157" t="s">
        <v>119</v>
      </c>
      <c r="E132" s="157"/>
      <c r="F132" s="158">
        <f>F130/D131</f>
        <v>9380.7373215190273</v>
      </c>
      <c r="G132" s="158"/>
    </row>
    <row r="133" spans="1:7">
      <c r="A133" s="150" t="s">
        <v>120</v>
      </c>
      <c r="B133" s="150"/>
      <c r="C133" s="150"/>
      <c r="D133" s="150"/>
      <c r="E133" s="150"/>
      <c r="F133" s="159">
        <f>F128/100*F132</f>
        <v>1336.7550683164613</v>
      </c>
      <c r="G133" s="159"/>
    </row>
    <row r="134" spans="1:7">
      <c r="A134" s="153" t="s">
        <v>121</v>
      </c>
      <c r="B134" s="153"/>
      <c r="C134" s="153"/>
      <c r="D134" s="153"/>
      <c r="E134" s="153"/>
      <c r="F134" s="153"/>
      <c r="G134" s="153"/>
    </row>
    <row r="135" spans="1:7">
      <c r="A135" s="154" t="s">
        <v>122</v>
      </c>
      <c r="B135" s="154"/>
      <c r="C135" s="154"/>
      <c r="D135" s="154"/>
      <c r="E135" s="154"/>
      <c r="F135" s="153" t="s">
        <v>48</v>
      </c>
      <c r="G135" s="155"/>
    </row>
    <row r="136" spans="1:7">
      <c r="A136" s="147" t="s">
        <v>101</v>
      </c>
      <c r="B136" s="147"/>
      <c r="C136" s="147"/>
      <c r="D136" s="147"/>
      <c r="E136" s="147"/>
      <c r="F136" s="148">
        <f>F115</f>
        <v>211.83613375753379</v>
      </c>
      <c r="G136" s="149"/>
    </row>
    <row r="137" spans="1:7">
      <c r="A137" s="147" t="s">
        <v>103</v>
      </c>
      <c r="B137" s="147"/>
      <c r="C137" s="147"/>
      <c r="D137" s="147"/>
      <c r="E137" s="147"/>
      <c r="F137" s="148">
        <f>F118</f>
        <v>129.01398280744053</v>
      </c>
      <c r="G137" s="149"/>
    </row>
    <row r="138" spans="1:7">
      <c r="A138" s="147" t="s">
        <v>123</v>
      </c>
      <c r="B138" s="147"/>
      <c r="C138" s="147"/>
      <c r="D138" s="147"/>
      <c r="E138" s="147"/>
      <c r="F138" s="148">
        <f>F133</f>
        <v>1336.7550683164613</v>
      </c>
      <c r="G138" s="149"/>
    </row>
    <row r="139" spans="1:7">
      <c r="A139" s="150" t="s">
        <v>124</v>
      </c>
      <c r="B139" s="151"/>
      <c r="C139" s="151"/>
      <c r="D139" s="151"/>
      <c r="E139" s="151"/>
      <c r="F139" s="152">
        <f>SUM(F136:G138)</f>
        <v>1677.6051848814357</v>
      </c>
      <c r="G139" s="152"/>
    </row>
    <row r="140" spans="1:7">
      <c r="A140" s="149"/>
      <c r="B140" s="149"/>
      <c r="C140" s="149"/>
      <c r="D140" s="149"/>
      <c r="E140" s="149"/>
      <c r="F140" s="149"/>
      <c r="G140" s="149"/>
    </row>
    <row r="141" spans="1:7">
      <c r="A141" s="153" t="s">
        <v>125</v>
      </c>
      <c r="B141" s="153"/>
      <c r="C141" s="153"/>
      <c r="D141" s="153"/>
      <c r="E141" s="153"/>
      <c r="F141" s="153"/>
      <c r="G141" s="153"/>
    </row>
    <row r="142" spans="1:7">
      <c r="A142" s="154" t="s">
        <v>126</v>
      </c>
      <c r="B142" s="154"/>
      <c r="C142" s="154"/>
      <c r="D142" s="154"/>
      <c r="E142" s="154"/>
      <c r="F142" s="153" t="s">
        <v>48</v>
      </c>
      <c r="G142" s="155"/>
    </row>
    <row r="143" spans="1:7">
      <c r="A143" s="147" t="s">
        <v>127</v>
      </c>
      <c r="B143" s="147"/>
      <c r="C143" s="147"/>
      <c r="D143" s="147"/>
      <c r="E143" s="147"/>
      <c r="F143" s="148">
        <f>F38</f>
        <v>3717.4539999999997</v>
      </c>
      <c r="G143" s="149"/>
    </row>
    <row r="144" spans="1:7">
      <c r="A144" s="147" t="s">
        <v>128</v>
      </c>
      <c r="B144" s="147"/>
      <c r="C144" s="147"/>
      <c r="D144" s="147"/>
      <c r="E144" s="147"/>
      <c r="F144" s="148">
        <f>F49</f>
        <v>1347.4417313181821</v>
      </c>
      <c r="G144" s="149"/>
    </row>
    <row r="145" spans="1:7">
      <c r="A145" s="147" t="s">
        <v>129</v>
      </c>
      <c r="B145" s="147"/>
      <c r="C145" s="147"/>
      <c r="D145" s="147"/>
      <c r="E145" s="147"/>
      <c r="F145" s="148">
        <f>F56</f>
        <v>116.70547351190478</v>
      </c>
      <c r="G145" s="149"/>
    </row>
    <row r="146" spans="1:7">
      <c r="A146" s="147" t="s">
        <v>130</v>
      </c>
      <c r="B146" s="147"/>
      <c r="C146" s="147"/>
      <c r="D146" s="147"/>
      <c r="E146" s="147"/>
      <c r="F146" s="148">
        <f>F110</f>
        <v>2521.5309318075065</v>
      </c>
      <c r="G146" s="149"/>
    </row>
    <row r="147" spans="1:7">
      <c r="A147" s="147" t="s">
        <v>131</v>
      </c>
      <c r="B147" s="147"/>
      <c r="C147" s="147"/>
      <c r="D147" s="147"/>
      <c r="E147" s="147"/>
      <c r="F147" s="148">
        <f>F139</f>
        <v>1677.6051848814357</v>
      </c>
      <c r="G147" s="149"/>
    </row>
    <row r="148" spans="1:7">
      <c r="A148" s="150" t="s">
        <v>132</v>
      </c>
      <c r="B148" s="151"/>
      <c r="C148" s="151"/>
      <c r="D148" s="151"/>
      <c r="E148" s="151"/>
      <c r="F148" s="152">
        <f>ROUND(SUM(F143:G147),2)</f>
        <v>9380.74</v>
      </c>
      <c r="G148" s="152"/>
    </row>
  </sheetData>
  <mergeCells count="261">
    <mergeCell ref="A147:E147"/>
    <mergeCell ref="F147:G147"/>
    <mergeCell ref="A148:E148"/>
    <mergeCell ref="F148:G148"/>
    <mergeCell ref="A144:E144"/>
    <mergeCell ref="F144:G144"/>
    <mergeCell ref="A145:E145"/>
    <mergeCell ref="F145:G145"/>
    <mergeCell ref="A146:E146"/>
    <mergeCell ref="F146:G146"/>
    <mergeCell ref="A140:G140"/>
    <mergeCell ref="A141:G141"/>
    <mergeCell ref="A142:E142"/>
    <mergeCell ref="F142:G142"/>
    <mergeCell ref="A143:E143"/>
    <mergeCell ref="F143:G143"/>
    <mergeCell ref="A137:E137"/>
    <mergeCell ref="F137:G137"/>
    <mergeCell ref="A138:E138"/>
    <mergeCell ref="F138:G138"/>
    <mergeCell ref="A139:E139"/>
    <mergeCell ref="F139:G139"/>
    <mergeCell ref="A133:E133"/>
    <mergeCell ref="F133:G133"/>
    <mergeCell ref="A134:G134"/>
    <mergeCell ref="A135:E135"/>
    <mergeCell ref="F135:G135"/>
    <mergeCell ref="A136:E136"/>
    <mergeCell ref="F136:G136"/>
    <mergeCell ref="A131:C131"/>
    <mergeCell ref="D131:E131"/>
    <mergeCell ref="F131:G131"/>
    <mergeCell ref="A132:C132"/>
    <mergeCell ref="D132:E132"/>
    <mergeCell ref="F132:G132"/>
    <mergeCell ref="A129:C129"/>
    <mergeCell ref="D129:E129"/>
    <mergeCell ref="F129:G129"/>
    <mergeCell ref="A130:C130"/>
    <mergeCell ref="D130:E130"/>
    <mergeCell ref="F130:G130"/>
    <mergeCell ref="A126:E126"/>
    <mergeCell ref="F126:G126"/>
    <mergeCell ref="A127:E127"/>
    <mergeCell ref="F127:G127"/>
    <mergeCell ref="A128:E128"/>
    <mergeCell ref="F128:G128"/>
    <mergeCell ref="A123:E123"/>
    <mergeCell ref="F123:G123"/>
    <mergeCell ref="A124:E124"/>
    <mergeCell ref="F124:G124"/>
    <mergeCell ref="A125:E125"/>
    <mergeCell ref="F125:G125"/>
    <mergeCell ref="A120:E120"/>
    <mergeCell ref="F120:G120"/>
    <mergeCell ref="A121:E121"/>
    <mergeCell ref="F121:G121"/>
    <mergeCell ref="A122:E122"/>
    <mergeCell ref="F122:G122"/>
    <mergeCell ref="A116:G116"/>
    <mergeCell ref="A117:D117"/>
    <mergeCell ref="F117:G117"/>
    <mergeCell ref="A118:D118"/>
    <mergeCell ref="F118:G118"/>
    <mergeCell ref="A119:G119"/>
    <mergeCell ref="A111:G111"/>
    <mergeCell ref="A112:G112"/>
    <mergeCell ref="A113:G113"/>
    <mergeCell ref="A114:D114"/>
    <mergeCell ref="F114:G114"/>
    <mergeCell ref="A115:D115"/>
    <mergeCell ref="F115:G115"/>
    <mergeCell ref="A108:E108"/>
    <mergeCell ref="F108:G108"/>
    <mergeCell ref="A109:E109"/>
    <mergeCell ref="F109:G109"/>
    <mergeCell ref="A110:E110"/>
    <mergeCell ref="F110:G110"/>
    <mergeCell ref="A105:E105"/>
    <mergeCell ref="F105:G105"/>
    <mergeCell ref="A106:E106"/>
    <mergeCell ref="F106:G106"/>
    <mergeCell ref="A107:E107"/>
    <mergeCell ref="F107:G107"/>
    <mergeCell ref="A101:E101"/>
    <mergeCell ref="F101:G101"/>
    <mergeCell ref="A102:G102"/>
    <mergeCell ref="A103:E103"/>
    <mergeCell ref="F103:G103"/>
    <mergeCell ref="A104:E104"/>
    <mergeCell ref="F104:G104"/>
    <mergeCell ref="A98:E98"/>
    <mergeCell ref="F98:G98"/>
    <mergeCell ref="A99:E99"/>
    <mergeCell ref="F99:G99"/>
    <mergeCell ref="A100:E100"/>
    <mergeCell ref="F100:G100"/>
    <mergeCell ref="A95:E95"/>
    <mergeCell ref="F95:G95"/>
    <mergeCell ref="A96:E96"/>
    <mergeCell ref="F96:G96"/>
    <mergeCell ref="A97:E97"/>
    <mergeCell ref="F97:G97"/>
    <mergeCell ref="A91:G91"/>
    <mergeCell ref="A92:E92"/>
    <mergeCell ref="F92:G92"/>
    <mergeCell ref="A93:E93"/>
    <mergeCell ref="F93:G93"/>
    <mergeCell ref="A94:E94"/>
    <mergeCell ref="F94:G94"/>
    <mergeCell ref="A88:E88"/>
    <mergeCell ref="F88:G88"/>
    <mergeCell ref="A89:E89"/>
    <mergeCell ref="F89:G89"/>
    <mergeCell ref="A90:E90"/>
    <mergeCell ref="F90:G90"/>
    <mergeCell ref="A85:E85"/>
    <mergeCell ref="F85:G85"/>
    <mergeCell ref="A86:E86"/>
    <mergeCell ref="F86:G86"/>
    <mergeCell ref="A87:E87"/>
    <mergeCell ref="F87:G87"/>
    <mergeCell ref="A81:E81"/>
    <mergeCell ref="F81:G81"/>
    <mergeCell ref="A82:G82"/>
    <mergeCell ref="A83:E83"/>
    <mergeCell ref="F83:G83"/>
    <mergeCell ref="A84:E84"/>
    <mergeCell ref="F84:G84"/>
    <mergeCell ref="A77:G77"/>
    <mergeCell ref="A78:E78"/>
    <mergeCell ref="F78:G78"/>
    <mergeCell ref="A79:E79"/>
    <mergeCell ref="F79:G79"/>
    <mergeCell ref="A80:E80"/>
    <mergeCell ref="F80:G80"/>
    <mergeCell ref="A74:E74"/>
    <mergeCell ref="F74:G74"/>
    <mergeCell ref="A75:E75"/>
    <mergeCell ref="F75:G75"/>
    <mergeCell ref="A76:E76"/>
    <mergeCell ref="F76:G76"/>
    <mergeCell ref="A70:G70"/>
    <mergeCell ref="A71:E71"/>
    <mergeCell ref="F71:G71"/>
    <mergeCell ref="A72:E72"/>
    <mergeCell ref="F72:G72"/>
    <mergeCell ref="A73:E73"/>
    <mergeCell ref="F73:G73"/>
    <mergeCell ref="A67:D67"/>
    <mergeCell ref="F67:G67"/>
    <mergeCell ref="A68:D68"/>
    <mergeCell ref="F68:G68"/>
    <mergeCell ref="A69:D69"/>
    <mergeCell ref="F69:G69"/>
    <mergeCell ref="A64:D64"/>
    <mergeCell ref="F64:G64"/>
    <mergeCell ref="A65:D65"/>
    <mergeCell ref="F65:G65"/>
    <mergeCell ref="A66:D66"/>
    <mergeCell ref="F66:G66"/>
    <mergeCell ref="A61:D61"/>
    <mergeCell ref="F61:G61"/>
    <mergeCell ref="A62:D62"/>
    <mergeCell ref="F62:G62"/>
    <mergeCell ref="A63:D63"/>
    <mergeCell ref="F63:G63"/>
    <mergeCell ref="A56:E56"/>
    <mergeCell ref="F56:G56"/>
    <mergeCell ref="A57:G57"/>
    <mergeCell ref="A58:G58"/>
    <mergeCell ref="A59:G59"/>
    <mergeCell ref="A60:D60"/>
    <mergeCell ref="F60:G60"/>
    <mergeCell ref="A53:E53"/>
    <mergeCell ref="F53:G53"/>
    <mergeCell ref="A54:E54"/>
    <mergeCell ref="F54:G54"/>
    <mergeCell ref="A55:E55"/>
    <mergeCell ref="F55:G55"/>
    <mergeCell ref="A49:E49"/>
    <mergeCell ref="F49:G49"/>
    <mergeCell ref="A50:G50"/>
    <mergeCell ref="A51:E51"/>
    <mergeCell ref="F51:G51"/>
    <mergeCell ref="A52:E52"/>
    <mergeCell ref="F52:G52"/>
    <mergeCell ref="A45:E45"/>
    <mergeCell ref="F45:G45"/>
    <mergeCell ref="A46:E46"/>
    <mergeCell ref="F46:G46"/>
    <mergeCell ref="A47:E47"/>
    <mergeCell ref="F47:G47"/>
    <mergeCell ref="A42:E42"/>
    <mergeCell ref="F42:G42"/>
    <mergeCell ref="A43:E43"/>
    <mergeCell ref="F43:G43"/>
    <mergeCell ref="A44:E44"/>
    <mergeCell ref="F44:G44"/>
    <mergeCell ref="A38:E38"/>
    <mergeCell ref="F38:G38"/>
    <mergeCell ref="A39:G39"/>
    <mergeCell ref="A40:G40"/>
    <mergeCell ref="A41:E41"/>
    <mergeCell ref="F41:G41"/>
    <mergeCell ref="A35:D35"/>
    <mergeCell ref="F35:G35"/>
    <mergeCell ref="A36:D36"/>
    <mergeCell ref="F36:G36"/>
    <mergeCell ref="A37:D37"/>
    <mergeCell ref="F37:G37"/>
    <mergeCell ref="A32:G32"/>
    <mergeCell ref="A33:G33"/>
    <mergeCell ref="A34:D34"/>
    <mergeCell ref="F34:G34"/>
    <mergeCell ref="A27:G27"/>
    <mergeCell ref="A28:D28"/>
    <mergeCell ref="E28:G28"/>
    <mergeCell ref="A29:D29"/>
    <mergeCell ref="E29:G29"/>
    <mergeCell ref="A30:D30"/>
    <mergeCell ref="E30:G30"/>
    <mergeCell ref="A1:G1"/>
    <mergeCell ref="B2:G2"/>
    <mergeCell ref="B3:G3"/>
    <mergeCell ref="B4:G4"/>
    <mergeCell ref="B5:G5"/>
    <mergeCell ref="A16:D16"/>
    <mergeCell ref="E16:G16"/>
    <mergeCell ref="A17:D17"/>
    <mergeCell ref="E17:G17"/>
    <mergeCell ref="A12:G12"/>
    <mergeCell ref="A13:G13"/>
    <mergeCell ref="A14:D14"/>
    <mergeCell ref="E14:G14"/>
    <mergeCell ref="A15:D15"/>
    <mergeCell ref="E15:G15"/>
    <mergeCell ref="A48:E48"/>
    <mergeCell ref="F48:G48"/>
    <mergeCell ref="A6:G6"/>
    <mergeCell ref="A7:G7"/>
    <mergeCell ref="A8:G8"/>
    <mergeCell ref="A9:G9"/>
    <mergeCell ref="A10:G10"/>
    <mergeCell ref="A11:G11"/>
    <mergeCell ref="A18:D18"/>
    <mergeCell ref="E18:G18"/>
    <mergeCell ref="A23:G23"/>
    <mergeCell ref="A24:G24"/>
    <mergeCell ref="A25:D25"/>
    <mergeCell ref="E25:G25"/>
    <mergeCell ref="A26:D26"/>
    <mergeCell ref="E26:G26"/>
    <mergeCell ref="A19:D19"/>
    <mergeCell ref="E19:G19"/>
    <mergeCell ref="A20:D20"/>
    <mergeCell ref="E20:G20"/>
    <mergeCell ref="A21:G21"/>
    <mergeCell ref="A22:G22"/>
    <mergeCell ref="A31:D31"/>
    <mergeCell ref="E31:G3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51"/>
  <sheetViews>
    <sheetView zoomScale="110" zoomScaleNormal="110" workbookViewId="0">
      <selection activeCell="A7" sqref="A7:G7"/>
    </sheetView>
  </sheetViews>
  <sheetFormatPr defaultRowHeight="15"/>
  <cols>
    <col min="1" max="1" width="12.140625" customWidth="1"/>
    <col min="2" max="2" width="14.140625" customWidth="1"/>
    <col min="3" max="3" width="11.42578125" customWidth="1"/>
    <col min="4" max="4" width="39.5703125" customWidth="1"/>
    <col min="5" max="5" width="23.28515625" customWidth="1"/>
    <col min="6" max="6" width="10.5703125" customWidth="1"/>
    <col min="7" max="7" width="10.42578125" customWidth="1"/>
  </cols>
  <sheetData>
    <row r="1" spans="1:7" ht="18">
      <c r="A1" s="223" t="s">
        <v>27</v>
      </c>
      <c r="B1" s="223"/>
      <c r="C1" s="223"/>
      <c r="D1" s="223"/>
      <c r="E1" s="223"/>
      <c r="F1" s="223"/>
      <c r="G1" s="223"/>
    </row>
    <row r="2" spans="1:7">
      <c r="A2" s="19"/>
      <c r="B2" s="224" t="s">
        <v>0</v>
      </c>
      <c r="C2" s="224"/>
      <c r="D2" s="224"/>
      <c r="E2" s="224"/>
      <c r="F2" s="224"/>
      <c r="G2" s="224"/>
    </row>
    <row r="3" spans="1:7">
      <c r="A3" s="19"/>
      <c r="B3" s="224" t="s">
        <v>1</v>
      </c>
      <c r="C3" s="224"/>
      <c r="D3" s="224"/>
      <c r="E3" s="224"/>
      <c r="F3" s="224"/>
      <c r="G3" s="224"/>
    </row>
    <row r="4" spans="1:7">
      <c r="A4" s="19"/>
      <c r="B4" s="225" t="s">
        <v>2</v>
      </c>
      <c r="C4" s="224"/>
      <c r="D4" s="224"/>
      <c r="E4" s="224"/>
      <c r="F4" s="224"/>
      <c r="G4" s="224"/>
    </row>
    <row r="5" spans="1:7">
      <c r="A5" s="19"/>
      <c r="B5" s="224"/>
      <c r="C5" s="224"/>
      <c r="D5" s="224"/>
      <c r="E5" s="224"/>
      <c r="F5" s="224"/>
      <c r="G5" s="224"/>
    </row>
    <row r="6" spans="1:7">
      <c r="A6" s="215" t="s">
        <v>27</v>
      </c>
      <c r="B6" s="215"/>
      <c r="C6" s="215"/>
      <c r="D6" s="215"/>
      <c r="E6" s="215"/>
      <c r="F6" s="215"/>
      <c r="G6" s="215"/>
    </row>
    <row r="7" spans="1:7">
      <c r="A7" s="218"/>
      <c r="B7" s="219"/>
      <c r="C7" s="219"/>
      <c r="D7" s="219"/>
      <c r="E7" s="219"/>
      <c r="F7" s="219"/>
      <c r="G7" s="220"/>
    </row>
    <row r="8" spans="1:7">
      <c r="A8" s="226" t="str">
        <f>'Vigilante 12X36 SEDE DIURNO'!A8:G8</f>
        <v>Nº do Processo: 0004539-81.2025.6.07.8100</v>
      </c>
      <c r="B8" s="227"/>
      <c r="C8" s="227"/>
      <c r="D8" s="227"/>
      <c r="E8" s="227"/>
      <c r="F8" s="227"/>
      <c r="G8" s="228"/>
    </row>
    <row r="9" spans="1:7">
      <c r="A9" s="226" t="str">
        <f>'Vigilante 12X36 SEDE DIURNO'!A9:G9</f>
        <v>Licitação nº XXX/2026</v>
      </c>
      <c r="B9" s="227"/>
      <c r="C9" s="227"/>
      <c r="D9" s="227"/>
      <c r="E9" s="227"/>
      <c r="F9" s="227"/>
      <c r="G9" s="228"/>
    </row>
    <row r="10" spans="1:7">
      <c r="A10" s="226" t="str">
        <f>'Vigilante 12X36 SEDE DIURNO'!A10:G10</f>
        <v xml:space="preserve">Proposta da Licitação: id. </v>
      </c>
      <c r="B10" s="227"/>
      <c r="C10" s="227"/>
      <c r="D10" s="227"/>
      <c r="E10" s="227"/>
      <c r="F10" s="227"/>
      <c r="G10" s="228"/>
    </row>
    <row r="11" spans="1:7">
      <c r="A11" s="229"/>
      <c r="B11" s="215"/>
      <c r="C11" s="215"/>
      <c r="D11" s="215"/>
      <c r="E11" s="215"/>
      <c r="F11" s="215"/>
      <c r="G11" s="215"/>
    </row>
    <row r="12" spans="1:7">
      <c r="A12" s="215" t="s">
        <v>28</v>
      </c>
      <c r="B12" s="215"/>
      <c r="C12" s="215"/>
      <c r="D12" s="215"/>
      <c r="E12" s="215"/>
      <c r="F12" s="215"/>
      <c r="G12" s="215"/>
    </row>
    <row r="13" spans="1:7">
      <c r="A13" s="230"/>
      <c r="B13" s="230"/>
      <c r="C13" s="230"/>
      <c r="D13" s="230"/>
      <c r="E13" s="230"/>
      <c r="F13" s="230"/>
      <c r="G13" s="230"/>
    </row>
    <row r="14" spans="1:7">
      <c r="A14" s="222" t="s">
        <v>29</v>
      </c>
      <c r="B14" s="222"/>
      <c r="C14" s="222"/>
      <c r="D14" s="222"/>
      <c r="E14" s="215"/>
      <c r="F14" s="215"/>
      <c r="G14" s="215"/>
    </row>
    <row r="15" spans="1:7">
      <c r="A15" s="222" t="s">
        <v>30</v>
      </c>
      <c r="B15" s="222"/>
      <c r="C15" s="222"/>
      <c r="D15" s="222"/>
      <c r="E15" s="215" t="s">
        <v>31</v>
      </c>
      <c r="F15" s="215"/>
      <c r="G15" s="215"/>
    </row>
    <row r="16" spans="1:7">
      <c r="A16" s="222" t="s">
        <v>32</v>
      </c>
      <c r="B16" s="222"/>
      <c r="C16" s="222"/>
      <c r="D16" s="222"/>
      <c r="E16" s="215" t="str">
        <f>'Vigilante 12X36 SEDE DIURNO'!E16:G16</f>
        <v>CCT/2025-2025</v>
      </c>
      <c r="F16" s="215"/>
      <c r="G16" s="215"/>
    </row>
    <row r="17" spans="1:11">
      <c r="A17" s="222" t="s">
        <v>33</v>
      </c>
      <c r="B17" s="222"/>
      <c r="C17" s="222"/>
      <c r="D17" s="222"/>
      <c r="E17" s="221" t="s">
        <v>133</v>
      </c>
      <c r="F17" s="221"/>
      <c r="G17" s="221"/>
    </row>
    <row r="18" spans="1:11">
      <c r="A18" s="222" t="s">
        <v>34</v>
      </c>
      <c r="B18" s="222"/>
      <c r="C18" s="222"/>
      <c r="D18" s="222"/>
      <c r="E18" s="215" t="s">
        <v>35</v>
      </c>
      <c r="F18" s="215"/>
      <c r="G18" s="215"/>
    </row>
    <row r="19" spans="1:11">
      <c r="A19" s="222" t="s">
        <v>36</v>
      </c>
      <c r="B19" s="222"/>
      <c r="C19" s="222"/>
      <c r="D19" s="222"/>
      <c r="E19" s="215">
        <v>1</v>
      </c>
      <c r="F19" s="215"/>
      <c r="G19" s="215"/>
    </row>
    <row r="20" spans="1:11">
      <c r="A20" s="222" t="s">
        <v>37</v>
      </c>
      <c r="B20" s="222"/>
      <c r="C20" s="222"/>
      <c r="D20" s="222"/>
      <c r="E20" s="215">
        <v>12</v>
      </c>
      <c r="F20" s="215"/>
      <c r="G20" s="215"/>
    </row>
    <row r="21" spans="1:11">
      <c r="A21" s="217"/>
      <c r="B21" s="217"/>
      <c r="C21" s="217"/>
      <c r="D21" s="217"/>
      <c r="E21" s="217"/>
      <c r="F21" s="217"/>
      <c r="G21" s="217"/>
    </row>
    <row r="22" spans="1:11">
      <c r="A22" s="217" t="s">
        <v>38</v>
      </c>
      <c r="B22" s="217"/>
      <c r="C22" s="217"/>
      <c r="D22" s="217"/>
      <c r="E22" s="217"/>
      <c r="F22" s="217"/>
      <c r="G22" s="217"/>
    </row>
    <row r="23" spans="1:11">
      <c r="A23" s="218"/>
      <c r="B23" s="219"/>
      <c r="C23" s="219"/>
      <c r="D23" s="219"/>
      <c r="E23" s="219"/>
      <c r="F23" s="219"/>
      <c r="G23" s="220"/>
    </row>
    <row r="24" spans="1:11">
      <c r="A24" s="221" t="s">
        <v>39</v>
      </c>
      <c r="B24" s="221"/>
      <c r="C24" s="221"/>
      <c r="D24" s="221"/>
      <c r="E24" s="221"/>
      <c r="F24" s="221"/>
      <c r="G24" s="221"/>
      <c r="K24" s="45"/>
    </row>
    <row r="25" spans="1:11">
      <c r="A25" s="215"/>
      <c r="B25" s="215"/>
      <c r="C25" s="215"/>
      <c r="D25" s="215"/>
      <c r="E25" s="215" t="s">
        <v>40</v>
      </c>
      <c r="F25" s="215"/>
      <c r="G25" s="215"/>
    </row>
    <row r="26" spans="1:11">
      <c r="A26" s="147" t="s">
        <v>160</v>
      </c>
      <c r="B26" s="150"/>
      <c r="C26" s="150"/>
      <c r="D26" s="150"/>
      <c r="E26" s="215">
        <v>1</v>
      </c>
      <c r="F26" s="215"/>
      <c r="G26" s="215"/>
      <c r="K26" s="45"/>
    </row>
    <row r="27" spans="1:11">
      <c r="A27" s="153"/>
      <c r="B27" s="153"/>
      <c r="C27" s="153"/>
      <c r="D27" s="153"/>
      <c r="E27" s="153"/>
      <c r="F27" s="153"/>
      <c r="G27" s="153"/>
    </row>
    <row r="28" spans="1:11">
      <c r="A28" s="147" t="s">
        <v>41</v>
      </c>
      <c r="B28" s="147"/>
      <c r="C28" s="147"/>
      <c r="D28" s="147"/>
      <c r="E28" s="216" t="s">
        <v>134</v>
      </c>
      <c r="F28" s="216"/>
      <c r="G28" s="216"/>
    </row>
    <row r="29" spans="1:11">
      <c r="A29" s="147" t="s">
        <v>42</v>
      </c>
      <c r="B29" s="147"/>
      <c r="C29" s="147"/>
      <c r="D29" s="147"/>
      <c r="E29" s="207">
        <v>2859.58</v>
      </c>
      <c r="F29" s="207"/>
      <c r="G29" s="207"/>
    </row>
    <row r="30" spans="1:11">
      <c r="A30" s="147" t="s">
        <v>43</v>
      </c>
      <c r="B30" s="147"/>
      <c r="C30" s="147"/>
      <c r="D30" s="147"/>
      <c r="E30" s="149" t="s">
        <v>135</v>
      </c>
      <c r="F30" s="149"/>
      <c r="G30" s="149"/>
    </row>
    <row r="31" spans="1:11">
      <c r="A31" s="147" t="s">
        <v>44</v>
      </c>
      <c r="B31" s="147"/>
      <c r="C31" s="147"/>
      <c r="D31" s="147"/>
      <c r="E31" s="214">
        <f>'Vigilante 12X36 SEDE DIURNO'!E31:G31</f>
        <v>46023</v>
      </c>
      <c r="F31" s="149"/>
      <c r="G31" s="149"/>
    </row>
    <row r="32" spans="1:11">
      <c r="A32" s="211"/>
      <c r="B32" s="212"/>
      <c r="C32" s="212"/>
      <c r="D32" s="212"/>
      <c r="E32" s="212"/>
      <c r="F32" s="212"/>
      <c r="G32" s="213"/>
    </row>
    <row r="33" spans="1:7">
      <c r="A33" s="153" t="s">
        <v>45</v>
      </c>
      <c r="B33" s="153"/>
      <c r="C33" s="153"/>
      <c r="D33" s="153"/>
      <c r="E33" s="153"/>
      <c r="F33" s="153"/>
      <c r="G33" s="153"/>
    </row>
    <row r="34" spans="1:7">
      <c r="A34" s="180" t="s">
        <v>46</v>
      </c>
      <c r="B34" s="181"/>
      <c r="C34" s="181"/>
      <c r="D34" s="181"/>
      <c r="E34" s="21" t="s">
        <v>47</v>
      </c>
      <c r="F34" s="153" t="s">
        <v>48</v>
      </c>
      <c r="G34" s="155"/>
    </row>
    <row r="35" spans="1:7">
      <c r="A35" s="147" t="s">
        <v>49</v>
      </c>
      <c r="B35" s="147"/>
      <c r="C35" s="147"/>
      <c r="D35" s="147"/>
      <c r="E35" s="22"/>
      <c r="F35" s="207">
        <v>2859.58</v>
      </c>
      <c r="G35" s="207"/>
    </row>
    <row r="36" spans="1:7">
      <c r="A36" s="147" t="s">
        <v>50</v>
      </c>
      <c r="B36" s="147"/>
      <c r="C36" s="147"/>
      <c r="D36" s="147"/>
      <c r="E36" s="23">
        <v>30</v>
      </c>
      <c r="F36" s="207">
        <f>F35*30%</f>
        <v>857.87399999999991</v>
      </c>
      <c r="G36" s="207"/>
    </row>
    <row r="37" spans="1:7">
      <c r="A37" s="147" t="s">
        <v>208</v>
      </c>
      <c r="B37" s="147"/>
      <c r="C37" s="147"/>
      <c r="D37" s="147"/>
      <c r="E37" s="23">
        <v>20</v>
      </c>
      <c r="F37" s="231">
        <f>(8*15.21*((F35+F36)/220)*0.2)</f>
        <v>411.21800247272733</v>
      </c>
      <c r="G37" s="231"/>
    </row>
    <row r="38" spans="1:7">
      <c r="A38" s="147" t="s">
        <v>209</v>
      </c>
      <c r="B38" s="147"/>
      <c r="C38" s="147"/>
      <c r="D38" s="147"/>
      <c r="E38" s="24"/>
      <c r="F38" s="231" t="s">
        <v>162</v>
      </c>
      <c r="G38" s="231"/>
    </row>
    <row r="39" spans="1:7">
      <c r="A39" s="210" t="s">
        <v>51</v>
      </c>
      <c r="B39" s="210"/>
      <c r="C39" s="210"/>
      <c r="D39" s="210"/>
      <c r="E39" s="210"/>
      <c r="F39" s="179">
        <f>SUM(F33:G38)</f>
        <v>4128.6720024727274</v>
      </c>
      <c r="G39" s="179"/>
    </row>
    <row r="40" spans="1:7">
      <c r="A40" s="200"/>
      <c r="B40" s="201"/>
      <c r="C40" s="201"/>
      <c r="D40" s="201"/>
      <c r="E40" s="201"/>
      <c r="F40" s="201"/>
      <c r="G40" s="202"/>
    </row>
    <row r="41" spans="1:7">
      <c r="A41" s="153" t="s">
        <v>178</v>
      </c>
      <c r="B41" s="153"/>
      <c r="C41" s="153"/>
      <c r="D41" s="153"/>
      <c r="E41" s="153"/>
      <c r="F41" s="153"/>
      <c r="G41" s="153"/>
    </row>
    <row r="42" spans="1:7">
      <c r="A42" s="180" t="s">
        <v>52</v>
      </c>
      <c r="B42" s="181"/>
      <c r="C42" s="181"/>
      <c r="D42" s="181"/>
      <c r="E42" s="182"/>
      <c r="F42" s="153" t="s">
        <v>48</v>
      </c>
      <c r="G42" s="155"/>
    </row>
    <row r="43" spans="1:7">
      <c r="A43" s="189" t="s">
        <v>139</v>
      </c>
      <c r="B43" s="190"/>
      <c r="C43" s="190"/>
      <c r="D43" s="190"/>
      <c r="E43" s="191"/>
      <c r="F43" s="207" t="s">
        <v>162</v>
      </c>
      <c r="G43" s="207"/>
    </row>
    <row r="44" spans="1:7">
      <c r="A44" s="174" t="s">
        <v>175</v>
      </c>
      <c r="B44" s="175"/>
      <c r="C44" s="175"/>
      <c r="D44" s="175"/>
      <c r="E44" s="176"/>
      <c r="F44" s="207">
        <f>'Vigilante 12X36 SEDE DIURNO'!F43:G43</f>
        <v>739.77485400000012</v>
      </c>
      <c r="G44" s="207"/>
    </row>
    <row r="45" spans="1:7">
      <c r="A45" s="174" t="s">
        <v>184</v>
      </c>
      <c r="B45" s="175"/>
      <c r="C45" s="175"/>
      <c r="D45" s="175"/>
      <c r="E45" s="176"/>
      <c r="F45" s="207">
        <f>'Vigilante 12X36 SEDE DIURNO'!F44:G44</f>
        <v>171.87</v>
      </c>
      <c r="G45" s="207"/>
    </row>
    <row r="46" spans="1:7" ht="15" customHeight="1">
      <c r="A46" s="189" t="s">
        <v>185</v>
      </c>
      <c r="B46" s="190"/>
      <c r="C46" s="190"/>
      <c r="D46" s="190"/>
      <c r="E46" s="191"/>
      <c r="F46" s="208">
        <v>19.899999999999999</v>
      </c>
      <c r="G46" s="208"/>
    </row>
    <row r="47" spans="1:7" ht="15" customHeight="1">
      <c r="A47" s="171" t="s">
        <v>205</v>
      </c>
      <c r="B47" s="172"/>
      <c r="C47" s="172"/>
      <c r="D47" s="172"/>
      <c r="E47" s="173"/>
      <c r="F47" s="207">
        <f>'Vigilante 12X36 SEDE DIURNO'!F46:G46</f>
        <v>11.34</v>
      </c>
      <c r="G47" s="207"/>
    </row>
    <row r="48" spans="1:7" ht="15" customHeight="1">
      <c r="A48" s="171" t="s">
        <v>177</v>
      </c>
      <c r="B48" s="172"/>
      <c r="C48" s="172"/>
      <c r="D48" s="172"/>
      <c r="E48" s="173"/>
      <c r="F48" s="205">
        <f>'Vigilante 12X36 SEDE DIURNO'!F47:G47</f>
        <v>19.04</v>
      </c>
      <c r="G48" s="206"/>
    </row>
    <row r="49" spans="1:7" ht="15" customHeight="1">
      <c r="A49" s="234" t="s">
        <v>180</v>
      </c>
      <c r="B49" s="235"/>
      <c r="C49" s="235"/>
      <c r="D49" s="235"/>
      <c r="E49" s="236"/>
      <c r="F49" s="237">
        <f>F39/220*15.21*1.5</f>
        <v>428.16205334734218</v>
      </c>
      <c r="G49" s="238"/>
    </row>
    <row r="50" spans="1:7">
      <c r="A50" s="150" t="s">
        <v>53</v>
      </c>
      <c r="B50" s="150"/>
      <c r="C50" s="150"/>
      <c r="D50" s="150"/>
      <c r="E50" s="150"/>
      <c r="F50" s="152">
        <f>SUM(F43:G49)</f>
        <v>1390.0869073473423</v>
      </c>
      <c r="G50" s="152"/>
    </row>
    <row r="51" spans="1:7">
      <c r="A51" s="153" t="s">
        <v>54</v>
      </c>
      <c r="B51" s="153"/>
      <c r="C51" s="153"/>
      <c r="D51" s="153"/>
      <c r="E51" s="153"/>
      <c r="F51" s="153"/>
      <c r="G51" s="153"/>
    </row>
    <row r="52" spans="1:7">
      <c r="A52" s="186" t="s">
        <v>179</v>
      </c>
      <c r="B52" s="187"/>
      <c r="C52" s="187"/>
      <c r="D52" s="187"/>
      <c r="E52" s="188"/>
      <c r="F52" s="153" t="s">
        <v>48</v>
      </c>
      <c r="G52" s="155"/>
    </row>
    <row r="53" spans="1:7">
      <c r="A53" s="147" t="s">
        <v>55</v>
      </c>
      <c r="B53" s="147"/>
      <c r="C53" s="147"/>
      <c r="D53" s="147"/>
      <c r="E53" s="147"/>
      <c r="F53" s="207">
        <f>Uniforme!H17</f>
        <v>57.495000000000005</v>
      </c>
      <c r="G53" s="207"/>
    </row>
    <row r="54" spans="1:7">
      <c r="A54" s="189" t="s">
        <v>56</v>
      </c>
      <c r="B54" s="190"/>
      <c r="C54" s="190"/>
      <c r="D54" s="190"/>
      <c r="E54" s="191"/>
      <c r="F54" s="205">
        <f>Equipamentos!J18</f>
        <v>46.299699702380956</v>
      </c>
      <c r="G54" s="206"/>
    </row>
    <row r="55" spans="1:7">
      <c r="A55" s="174" t="s">
        <v>57</v>
      </c>
      <c r="B55" s="175"/>
      <c r="C55" s="175"/>
      <c r="D55" s="175"/>
      <c r="E55" s="176"/>
      <c r="F55" s="205">
        <f>Material!I18</f>
        <v>12.91077380952381</v>
      </c>
      <c r="G55" s="206"/>
    </row>
    <row r="56" spans="1:7">
      <c r="A56" s="174" t="s">
        <v>138</v>
      </c>
      <c r="B56" s="175"/>
      <c r="C56" s="175"/>
      <c r="D56" s="175"/>
      <c r="E56" s="176"/>
      <c r="F56" s="205"/>
      <c r="G56" s="206"/>
    </row>
    <row r="57" spans="1:7">
      <c r="A57" s="150" t="s">
        <v>58</v>
      </c>
      <c r="B57" s="151"/>
      <c r="C57" s="151"/>
      <c r="D57" s="151"/>
      <c r="E57" s="151"/>
      <c r="F57" s="152">
        <f>SUM(F53:G56)</f>
        <v>116.70547351190478</v>
      </c>
      <c r="G57" s="152"/>
    </row>
    <row r="58" spans="1:7">
      <c r="A58" s="200"/>
      <c r="B58" s="201"/>
      <c r="C58" s="201"/>
      <c r="D58" s="201"/>
      <c r="E58" s="201"/>
      <c r="F58" s="201"/>
      <c r="G58" s="202"/>
    </row>
    <row r="59" spans="1:7">
      <c r="A59" s="153" t="s">
        <v>59</v>
      </c>
      <c r="B59" s="153"/>
      <c r="C59" s="153"/>
      <c r="D59" s="153"/>
      <c r="E59" s="153"/>
      <c r="F59" s="153"/>
      <c r="G59" s="153"/>
    </row>
    <row r="60" spans="1:7">
      <c r="A60" s="153" t="s">
        <v>60</v>
      </c>
      <c r="B60" s="153"/>
      <c r="C60" s="153"/>
      <c r="D60" s="153"/>
      <c r="E60" s="153"/>
      <c r="F60" s="153"/>
      <c r="G60" s="153"/>
    </row>
    <row r="61" spans="1:7">
      <c r="A61" s="154" t="s">
        <v>61</v>
      </c>
      <c r="B61" s="154"/>
      <c r="C61" s="154"/>
      <c r="D61" s="154"/>
      <c r="E61" s="25" t="s">
        <v>62</v>
      </c>
      <c r="F61" s="153" t="s">
        <v>48</v>
      </c>
      <c r="G61" s="155"/>
    </row>
    <row r="62" spans="1:7">
      <c r="A62" s="198" t="s">
        <v>63</v>
      </c>
      <c r="B62" s="198"/>
      <c r="C62" s="198"/>
      <c r="D62" s="198"/>
      <c r="E62" s="26">
        <v>0.2</v>
      </c>
      <c r="F62" s="170">
        <f>E62*F39</f>
        <v>825.73440049454553</v>
      </c>
      <c r="G62" s="170"/>
    </row>
    <row r="63" spans="1:7">
      <c r="A63" s="198" t="s">
        <v>64</v>
      </c>
      <c r="B63" s="198"/>
      <c r="C63" s="198"/>
      <c r="D63" s="198"/>
      <c r="E63" s="26">
        <v>1.4999999999999999E-2</v>
      </c>
      <c r="F63" s="170">
        <f>E63*F39</f>
        <v>61.93008003709091</v>
      </c>
      <c r="G63" s="170"/>
    </row>
    <row r="64" spans="1:7">
      <c r="A64" s="198" t="s">
        <v>65</v>
      </c>
      <c r="B64" s="198"/>
      <c r="C64" s="198"/>
      <c r="D64" s="198"/>
      <c r="E64" s="26">
        <v>0.01</v>
      </c>
      <c r="F64" s="170">
        <f>E64*F39</f>
        <v>41.286720024727273</v>
      </c>
      <c r="G64" s="170"/>
    </row>
    <row r="65" spans="1:7">
      <c r="A65" s="198" t="s">
        <v>66</v>
      </c>
      <c r="B65" s="198"/>
      <c r="C65" s="198"/>
      <c r="D65" s="198"/>
      <c r="E65" s="26">
        <v>2E-3</v>
      </c>
      <c r="F65" s="170">
        <f>E65*F39</f>
        <v>8.2573440049454554</v>
      </c>
      <c r="G65" s="170"/>
    </row>
    <row r="66" spans="1:7">
      <c r="A66" s="198" t="s">
        <v>67</v>
      </c>
      <c r="B66" s="198"/>
      <c r="C66" s="198"/>
      <c r="D66" s="198"/>
      <c r="E66" s="26">
        <v>2.5000000000000001E-2</v>
      </c>
      <c r="F66" s="170">
        <f>E66*F39</f>
        <v>103.21680006181819</v>
      </c>
      <c r="G66" s="170"/>
    </row>
    <row r="67" spans="1:7">
      <c r="A67" s="198" t="s">
        <v>68</v>
      </c>
      <c r="B67" s="198"/>
      <c r="C67" s="198"/>
      <c r="D67" s="198"/>
      <c r="E67" s="26">
        <v>0.08</v>
      </c>
      <c r="F67" s="170">
        <f>E67*F39</f>
        <v>330.29376019781819</v>
      </c>
      <c r="G67" s="170"/>
    </row>
    <row r="68" spans="1:7">
      <c r="A68" s="199" t="s">
        <v>69</v>
      </c>
      <c r="B68" s="199"/>
      <c r="C68" s="199"/>
      <c r="D68" s="199"/>
      <c r="E68" s="102">
        <v>0.03</v>
      </c>
      <c r="F68" s="170">
        <f>E68*F39</f>
        <v>123.86016007418182</v>
      </c>
      <c r="G68" s="170"/>
    </row>
    <row r="69" spans="1:7">
      <c r="A69" s="198" t="s">
        <v>70</v>
      </c>
      <c r="B69" s="198"/>
      <c r="C69" s="198"/>
      <c r="D69" s="198"/>
      <c r="E69" s="26">
        <v>6.0000000000000001E-3</v>
      </c>
      <c r="F69" s="170">
        <f>E69*F39</f>
        <v>24.772032014836366</v>
      </c>
      <c r="G69" s="170"/>
    </row>
    <row r="70" spans="1:7">
      <c r="A70" s="150" t="s">
        <v>71</v>
      </c>
      <c r="B70" s="150"/>
      <c r="C70" s="150"/>
      <c r="D70" s="150"/>
      <c r="E70" s="27">
        <f>SUM(E62:E69)</f>
        <v>0.3680000000000001</v>
      </c>
      <c r="F70" s="152">
        <f>SUM(F62:G69)</f>
        <v>1519.3512969099638</v>
      </c>
      <c r="G70" s="152"/>
    </row>
    <row r="71" spans="1:7">
      <c r="A71" s="153" t="s">
        <v>72</v>
      </c>
      <c r="B71" s="153"/>
      <c r="C71" s="153"/>
      <c r="D71" s="153"/>
      <c r="E71" s="153"/>
      <c r="F71" s="153"/>
      <c r="G71" s="153"/>
    </row>
    <row r="72" spans="1:7">
      <c r="A72" s="180" t="s">
        <v>73</v>
      </c>
      <c r="B72" s="181"/>
      <c r="C72" s="181"/>
      <c r="D72" s="181"/>
      <c r="E72" s="182"/>
      <c r="F72" s="153" t="s">
        <v>48</v>
      </c>
      <c r="G72" s="155"/>
    </row>
    <row r="73" spans="1:7">
      <c r="A73" s="189" t="s">
        <v>74</v>
      </c>
      <c r="B73" s="190"/>
      <c r="C73" s="190"/>
      <c r="D73" s="190"/>
      <c r="E73" s="191"/>
      <c r="F73" s="170">
        <f>F39/12</f>
        <v>344.05600020606062</v>
      </c>
      <c r="G73" s="170"/>
    </row>
    <row r="74" spans="1:7">
      <c r="A74" s="192" t="s">
        <v>75</v>
      </c>
      <c r="B74" s="193"/>
      <c r="C74" s="193"/>
      <c r="D74" s="193"/>
      <c r="E74" s="194"/>
      <c r="F74" s="170">
        <f>F39/3/12</f>
        <v>114.68533340202021</v>
      </c>
      <c r="G74" s="170"/>
    </row>
    <row r="75" spans="1:7">
      <c r="A75" s="195" t="s">
        <v>211</v>
      </c>
      <c r="B75" s="196"/>
      <c r="C75" s="196"/>
      <c r="D75" s="196"/>
      <c r="E75" s="197"/>
      <c r="F75" s="152">
        <f>SUM(F73:G74)</f>
        <v>458.74133360808082</v>
      </c>
      <c r="G75" s="152"/>
    </row>
    <row r="76" spans="1:7">
      <c r="A76" s="174" t="s">
        <v>77</v>
      </c>
      <c r="B76" s="175"/>
      <c r="C76" s="175"/>
      <c r="D76" s="175"/>
      <c r="E76" s="176"/>
      <c r="F76" s="170">
        <f>F75*E70</f>
        <v>168.8168107677738</v>
      </c>
      <c r="G76" s="170"/>
    </row>
    <row r="77" spans="1:7">
      <c r="A77" s="150" t="s">
        <v>78</v>
      </c>
      <c r="B77" s="150"/>
      <c r="C77" s="150"/>
      <c r="D77" s="150"/>
      <c r="E77" s="150"/>
      <c r="F77" s="152">
        <f>SUM(F73,F74,F76)</f>
        <v>627.55814437585468</v>
      </c>
      <c r="G77" s="152"/>
    </row>
    <row r="78" spans="1:7">
      <c r="A78" s="153" t="s">
        <v>79</v>
      </c>
      <c r="B78" s="153"/>
      <c r="C78" s="153"/>
      <c r="D78" s="153"/>
      <c r="E78" s="153"/>
      <c r="F78" s="153"/>
      <c r="G78" s="153"/>
    </row>
    <row r="79" spans="1:7" ht="21.75" customHeight="1">
      <c r="A79" s="186" t="s">
        <v>80</v>
      </c>
      <c r="B79" s="187"/>
      <c r="C79" s="187"/>
      <c r="D79" s="187"/>
      <c r="E79" s="188"/>
      <c r="F79" s="153" t="s">
        <v>48</v>
      </c>
      <c r="G79" s="155"/>
    </row>
    <row r="80" spans="1:7">
      <c r="A80" s="171" t="s">
        <v>165</v>
      </c>
      <c r="B80" s="172"/>
      <c r="C80" s="172"/>
      <c r="D80" s="172"/>
      <c r="E80" s="173"/>
      <c r="F80" s="170">
        <f>(F39/3+F39)*0.333/12*0.01</f>
        <v>1.5276086409149094</v>
      </c>
      <c r="G80" s="170"/>
    </row>
    <row r="81" spans="1:7">
      <c r="A81" s="147" t="s">
        <v>81</v>
      </c>
      <c r="B81" s="147"/>
      <c r="C81" s="147"/>
      <c r="D81" s="147"/>
      <c r="E81" s="147"/>
      <c r="F81" s="170">
        <f>E70*F80</f>
        <v>0.56215997985668686</v>
      </c>
      <c r="G81" s="170"/>
    </row>
    <row r="82" spans="1:7">
      <c r="A82" s="150" t="s">
        <v>82</v>
      </c>
      <c r="B82" s="150"/>
      <c r="C82" s="150"/>
      <c r="D82" s="150"/>
      <c r="E82" s="150"/>
      <c r="F82" s="152">
        <f>SUM(F80:G81)</f>
        <v>2.0897686207715962</v>
      </c>
      <c r="G82" s="152"/>
    </row>
    <row r="83" spans="1:7">
      <c r="A83" s="153" t="s">
        <v>83</v>
      </c>
      <c r="B83" s="153"/>
      <c r="C83" s="153"/>
      <c r="D83" s="153"/>
      <c r="E83" s="153"/>
      <c r="F83" s="153"/>
      <c r="G83" s="153"/>
    </row>
    <row r="84" spans="1:7">
      <c r="A84" s="180" t="s">
        <v>84</v>
      </c>
      <c r="B84" s="181"/>
      <c r="C84" s="181"/>
      <c r="D84" s="181"/>
      <c r="E84" s="182"/>
      <c r="F84" s="153" t="s">
        <v>48</v>
      </c>
      <c r="G84" s="155"/>
    </row>
    <row r="85" spans="1:7">
      <c r="A85" s="171" t="s">
        <v>166</v>
      </c>
      <c r="B85" s="172"/>
      <c r="C85" s="172"/>
      <c r="D85" s="172"/>
      <c r="E85" s="173"/>
      <c r="F85" s="170">
        <f>(F39/12)*0.01</f>
        <v>3.4405600020606064</v>
      </c>
      <c r="G85" s="170"/>
    </row>
    <row r="86" spans="1:7">
      <c r="A86" s="147" t="s">
        <v>85</v>
      </c>
      <c r="B86" s="147"/>
      <c r="C86" s="147"/>
      <c r="D86" s="147"/>
      <c r="E86" s="147"/>
      <c r="F86" s="185">
        <f>F85*E67</f>
        <v>0.27524480016484854</v>
      </c>
      <c r="G86" s="170"/>
    </row>
    <row r="87" spans="1:7">
      <c r="A87" s="171" t="s">
        <v>86</v>
      </c>
      <c r="B87" s="172"/>
      <c r="C87" s="172"/>
      <c r="D87" s="172"/>
      <c r="E87" s="173"/>
      <c r="F87" s="170">
        <f>F86*0.4</f>
        <v>0.11009792006593942</v>
      </c>
      <c r="G87" s="170"/>
    </row>
    <row r="88" spans="1:7">
      <c r="A88" s="171" t="s">
        <v>212</v>
      </c>
      <c r="B88" s="172"/>
      <c r="C88" s="172"/>
      <c r="D88" s="172"/>
      <c r="E88" s="173"/>
      <c r="F88" s="170">
        <f>(F39/30)*0.7/12</f>
        <v>8.0279733381414129</v>
      </c>
      <c r="G88" s="170"/>
    </row>
    <row r="89" spans="1:7">
      <c r="A89" s="147" t="s">
        <v>87</v>
      </c>
      <c r="B89" s="147"/>
      <c r="C89" s="147"/>
      <c r="D89" s="147"/>
      <c r="E89" s="147"/>
      <c r="F89" s="185">
        <f>F88*E70</f>
        <v>2.954294188436041</v>
      </c>
      <c r="G89" s="170"/>
    </row>
    <row r="90" spans="1:7">
      <c r="A90" s="171" t="s">
        <v>88</v>
      </c>
      <c r="B90" s="172"/>
      <c r="C90" s="172"/>
      <c r="D90" s="172"/>
      <c r="E90" s="173"/>
      <c r="F90" s="170">
        <f>(F39*E67)*0.4</f>
        <v>132.11750407912729</v>
      </c>
      <c r="G90" s="170"/>
    </row>
    <row r="91" spans="1:7">
      <c r="A91" s="150" t="s">
        <v>89</v>
      </c>
      <c r="B91" s="150"/>
      <c r="C91" s="150"/>
      <c r="D91" s="150"/>
      <c r="E91" s="150"/>
      <c r="F91" s="179">
        <f>SUM(F85:F90)</f>
        <v>146.92567432799615</v>
      </c>
      <c r="G91" s="179"/>
    </row>
    <row r="92" spans="1:7">
      <c r="A92" s="180" t="s">
        <v>90</v>
      </c>
      <c r="B92" s="181"/>
      <c r="C92" s="181"/>
      <c r="D92" s="181"/>
      <c r="E92" s="181"/>
      <c r="F92" s="181"/>
      <c r="G92" s="182"/>
    </row>
    <row r="93" spans="1:7">
      <c r="A93" s="180" t="s">
        <v>91</v>
      </c>
      <c r="B93" s="181"/>
      <c r="C93" s="181"/>
      <c r="D93" s="181"/>
      <c r="E93" s="182"/>
      <c r="F93" s="180" t="s">
        <v>48</v>
      </c>
      <c r="G93" s="183"/>
    </row>
    <row r="94" spans="1:7">
      <c r="A94" s="171" t="s">
        <v>92</v>
      </c>
      <c r="B94" s="172"/>
      <c r="C94" s="172"/>
      <c r="D94" s="172"/>
      <c r="E94" s="173"/>
      <c r="F94" s="170">
        <f>F39/12</f>
        <v>344.05600020606062</v>
      </c>
      <c r="G94" s="170"/>
    </row>
    <row r="95" spans="1:7">
      <c r="A95" s="171" t="s">
        <v>167</v>
      </c>
      <c r="B95" s="172"/>
      <c r="C95" s="172"/>
      <c r="D95" s="172"/>
      <c r="E95" s="173"/>
      <c r="F95" s="170">
        <f>(F39/30)*1/12</f>
        <v>11.46853334020202</v>
      </c>
      <c r="G95" s="170"/>
    </row>
    <row r="96" spans="1:7" ht="15" customHeight="1">
      <c r="A96" s="171" t="s">
        <v>214</v>
      </c>
      <c r="B96" s="172"/>
      <c r="C96" s="172"/>
      <c r="D96" s="172"/>
      <c r="E96" s="173"/>
      <c r="F96" s="177">
        <f>(F39/30*5)/12*0.0157</f>
        <v>0.90027986720585851</v>
      </c>
      <c r="G96" s="178"/>
    </row>
    <row r="97" spans="1:7" ht="15" customHeight="1">
      <c r="A97" s="171" t="s">
        <v>213</v>
      </c>
      <c r="B97" s="172"/>
      <c r="C97" s="172"/>
      <c r="D97" s="172"/>
      <c r="E97" s="173"/>
      <c r="F97" s="170">
        <f>(F39/30*3)/12*0.3</f>
        <v>10.321680006181817</v>
      </c>
      <c r="G97" s="170"/>
    </row>
    <row r="98" spans="1:7" ht="15" customHeight="1">
      <c r="A98" s="171" t="s">
        <v>215</v>
      </c>
      <c r="B98" s="172"/>
      <c r="C98" s="172"/>
      <c r="D98" s="172"/>
      <c r="E98" s="173"/>
      <c r="F98" s="162">
        <f>(F39/30*15)/12*0.012</f>
        <v>2.0643360012363638</v>
      </c>
      <c r="G98" s="162"/>
    </row>
    <row r="99" spans="1:7">
      <c r="A99" s="174" t="s">
        <v>93</v>
      </c>
      <c r="B99" s="175"/>
      <c r="C99" s="175"/>
      <c r="D99" s="175"/>
      <c r="E99" s="176"/>
      <c r="F99" s="170">
        <f>F39*E99</f>
        <v>0</v>
      </c>
      <c r="G99" s="170"/>
    </row>
    <row r="100" spans="1:7">
      <c r="A100" s="150" t="s">
        <v>76</v>
      </c>
      <c r="B100" s="150"/>
      <c r="C100" s="150"/>
      <c r="D100" s="150"/>
      <c r="E100" s="150"/>
      <c r="F100" s="152">
        <f>SUM(F94:G99)</f>
        <v>368.81082942088671</v>
      </c>
      <c r="G100" s="152"/>
    </row>
    <row r="101" spans="1:7">
      <c r="A101" s="147" t="s">
        <v>94</v>
      </c>
      <c r="B101" s="147"/>
      <c r="C101" s="147"/>
      <c r="D101" s="147"/>
      <c r="E101" s="147"/>
      <c r="F101" s="170">
        <f>F100*E70</f>
        <v>135.72238522688636</v>
      </c>
      <c r="G101" s="170"/>
    </row>
    <row r="102" spans="1:7">
      <c r="A102" s="150" t="s">
        <v>95</v>
      </c>
      <c r="B102" s="150"/>
      <c r="C102" s="150"/>
      <c r="D102" s="150"/>
      <c r="E102" s="150"/>
      <c r="F102" s="152">
        <f>F100+F101</f>
        <v>504.53321464777309</v>
      </c>
      <c r="G102" s="152"/>
    </row>
    <row r="103" spans="1:7">
      <c r="A103" s="153" t="s">
        <v>96</v>
      </c>
      <c r="B103" s="153"/>
      <c r="C103" s="153"/>
      <c r="D103" s="153"/>
      <c r="E103" s="153"/>
      <c r="F103" s="153"/>
      <c r="G103" s="153"/>
    </row>
    <row r="104" spans="1:7">
      <c r="A104" s="154" t="s">
        <v>97</v>
      </c>
      <c r="B104" s="154"/>
      <c r="C104" s="154"/>
      <c r="D104" s="154"/>
      <c r="E104" s="154"/>
      <c r="F104" s="153" t="s">
        <v>48</v>
      </c>
      <c r="G104" s="155"/>
    </row>
    <row r="105" spans="1:7">
      <c r="A105" s="147" t="s">
        <v>61</v>
      </c>
      <c r="B105" s="147"/>
      <c r="C105" s="147"/>
      <c r="D105" s="147"/>
      <c r="E105" s="147"/>
      <c r="F105" s="148">
        <f>F70</f>
        <v>1519.3512969099638</v>
      </c>
      <c r="G105" s="149"/>
    </row>
    <row r="106" spans="1:7">
      <c r="A106" s="147" t="s">
        <v>73</v>
      </c>
      <c r="B106" s="147"/>
      <c r="C106" s="147"/>
      <c r="D106" s="147"/>
      <c r="E106" s="147"/>
      <c r="F106" s="148">
        <f>F77</f>
        <v>627.55814437585468</v>
      </c>
      <c r="G106" s="149"/>
    </row>
    <row r="107" spans="1:7">
      <c r="A107" s="147" t="s">
        <v>80</v>
      </c>
      <c r="B107" s="147"/>
      <c r="C107" s="147"/>
      <c r="D107" s="147"/>
      <c r="E107" s="147"/>
      <c r="F107" s="148">
        <f>F82</f>
        <v>2.0897686207715962</v>
      </c>
      <c r="G107" s="149"/>
    </row>
    <row r="108" spans="1:7">
      <c r="A108" s="147" t="s">
        <v>84</v>
      </c>
      <c r="B108" s="147"/>
      <c r="C108" s="147"/>
      <c r="D108" s="147"/>
      <c r="E108" s="147"/>
      <c r="F108" s="148">
        <f>F91</f>
        <v>146.92567432799615</v>
      </c>
      <c r="G108" s="149"/>
    </row>
    <row r="109" spans="1:7">
      <c r="A109" s="147" t="s">
        <v>91</v>
      </c>
      <c r="B109" s="147"/>
      <c r="C109" s="147"/>
      <c r="D109" s="147"/>
      <c r="E109" s="147"/>
      <c r="F109" s="148">
        <f>F102</f>
        <v>504.53321464777309</v>
      </c>
      <c r="G109" s="149"/>
    </row>
    <row r="110" spans="1:7">
      <c r="A110" s="147" t="s">
        <v>158</v>
      </c>
      <c r="B110" s="147"/>
      <c r="C110" s="147"/>
      <c r="D110" s="147"/>
      <c r="E110" s="147"/>
      <c r="F110" s="148">
        <v>0</v>
      </c>
      <c r="G110" s="149"/>
    </row>
    <row r="111" spans="1:7">
      <c r="A111" s="150" t="s">
        <v>98</v>
      </c>
      <c r="B111" s="151"/>
      <c r="C111" s="151"/>
      <c r="D111" s="151"/>
      <c r="E111" s="151"/>
      <c r="F111" s="152">
        <f>SUM(F105:G110)</f>
        <v>2800.4580988823595</v>
      </c>
      <c r="G111" s="152"/>
    </row>
    <row r="112" spans="1:7">
      <c r="A112" s="169"/>
      <c r="B112" s="169"/>
      <c r="C112" s="169"/>
      <c r="D112" s="169"/>
      <c r="E112" s="169"/>
      <c r="F112" s="169"/>
      <c r="G112" s="169"/>
    </row>
    <row r="113" spans="1:7">
      <c r="A113" s="153" t="s">
        <v>99</v>
      </c>
      <c r="B113" s="153"/>
      <c r="C113" s="153"/>
      <c r="D113" s="153"/>
      <c r="E113" s="153"/>
      <c r="F113" s="153"/>
      <c r="G113" s="153"/>
    </row>
    <row r="114" spans="1:7">
      <c r="A114" s="153" t="s">
        <v>100</v>
      </c>
      <c r="B114" s="153"/>
      <c r="C114" s="153"/>
      <c r="D114" s="153"/>
      <c r="E114" s="153"/>
      <c r="F114" s="153"/>
      <c r="G114" s="153"/>
    </row>
    <row r="115" spans="1:7" ht="24" customHeight="1">
      <c r="A115" s="154" t="s">
        <v>101</v>
      </c>
      <c r="B115" s="154"/>
      <c r="C115" s="154"/>
      <c r="D115" s="154"/>
      <c r="E115" s="25" t="s">
        <v>62</v>
      </c>
      <c r="F115" s="153" t="s">
        <v>48</v>
      </c>
      <c r="G115" s="155"/>
    </row>
    <row r="116" spans="1:7" ht="24" customHeight="1">
      <c r="A116" s="168" t="s">
        <v>217</v>
      </c>
      <c r="B116" s="168"/>
      <c r="C116" s="168"/>
      <c r="D116" s="168"/>
      <c r="E116" s="103">
        <v>2.75E-2</v>
      </c>
      <c r="F116" s="148">
        <f>(F39+F50+F57+F111)*E116</f>
        <v>231.98786826089417</v>
      </c>
      <c r="G116" s="155"/>
    </row>
    <row r="117" spans="1:7">
      <c r="A117" s="153" t="s">
        <v>102</v>
      </c>
      <c r="B117" s="153"/>
      <c r="C117" s="153"/>
      <c r="D117" s="153"/>
      <c r="E117" s="153"/>
      <c r="F117" s="153"/>
      <c r="G117" s="153"/>
    </row>
    <row r="118" spans="1:7" ht="25.5" customHeight="1">
      <c r="A118" s="154" t="s">
        <v>103</v>
      </c>
      <c r="B118" s="154"/>
      <c r="C118" s="154"/>
      <c r="D118" s="154"/>
      <c r="E118" s="25" t="s">
        <v>62</v>
      </c>
      <c r="F118" s="153" t="s">
        <v>48</v>
      </c>
      <c r="G118" s="155"/>
    </row>
    <row r="119" spans="1:7" ht="24.75" customHeight="1">
      <c r="A119" s="168" t="s">
        <v>218</v>
      </c>
      <c r="B119" s="168"/>
      <c r="C119" s="168"/>
      <c r="D119" s="168"/>
      <c r="E119" s="104">
        <v>1.6299999999999999E-2</v>
      </c>
      <c r="F119" s="148">
        <f>SUM(F39,F50,F57,F111,F116)*E119</f>
        <v>141.28693871274621</v>
      </c>
      <c r="G119" s="155"/>
    </row>
    <row r="120" spans="1:7">
      <c r="A120" s="153" t="s">
        <v>104</v>
      </c>
      <c r="B120" s="153"/>
      <c r="C120" s="153"/>
      <c r="D120" s="153"/>
      <c r="E120" s="153"/>
      <c r="F120" s="153"/>
      <c r="G120" s="153"/>
    </row>
    <row r="121" spans="1:7">
      <c r="A121" s="154" t="s">
        <v>105</v>
      </c>
      <c r="B121" s="154"/>
      <c r="C121" s="154"/>
      <c r="D121" s="154"/>
      <c r="E121" s="154"/>
      <c r="F121" s="153" t="s">
        <v>48</v>
      </c>
      <c r="G121" s="155"/>
    </row>
    <row r="122" spans="1:7">
      <c r="A122" s="154" t="s">
        <v>106</v>
      </c>
      <c r="B122" s="154"/>
      <c r="C122" s="154"/>
      <c r="D122" s="154"/>
      <c r="E122" s="154"/>
      <c r="F122" s="167" t="s">
        <v>47</v>
      </c>
      <c r="G122" s="167"/>
    </row>
    <row r="123" spans="1:7">
      <c r="A123" s="147" t="s">
        <v>107</v>
      </c>
      <c r="B123" s="147"/>
      <c r="C123" s="147"/>
      <c r="D123" s="147"/>
      <c r="E123" s="147"/>
      <c r="F123" s="239">
        <f>'PIS-COFINS'!F18</f>
        <v>1.6499999999999997</v>
      </c>
      <c r="G123" s="239"/>
    </row>
    <row r="124" spans="1:7">
      <c r="A124" s="147" t="s">
        <v>108</v>
      </c>
      <c r="B124" s="147"/>
      <c r="C124" s="147"/>
      <c r="D124" s="147"/>
      <c r="E124" s="147"/>
      <c r="F124" s="239">
        <f>'PIS-COFINS'!F34</f>
        <v>7.5999999999999988</v>
      </c>
      <c r="G124" s="239"/>
    </row>
    <row r="125" spans="1:7">
      <c r="A125" s="154" t="s">
        <v>109</v>
      </c>
      <c r="B125" s="154"/>
      <c r="C125" s="154"/>
      <c r="D125" s="154"/>
      <c r="E125" s="154"/>
      <c r="F125" s="167" t="s">
        <v>47</v>
      </c>
      <c r="G125" s="167"/>
    </row>
    <row r="126" spans="1:7">
      <c r="A126" s="147" t="s">
        <v>110</v>
      </c>
      <c r="B126" s="147"/>
      <c r="C126" s="147"/>
      <c r="D126" s="147"/>
      <c r="E126" s="147"/>
      <c r="F126" s="165">
        <v>5</v>
      </c>
      <c r="G126" s="165"/>
    </row>
    <row r="127" spans="1:7">
      <c r="A127" s="154" t="s">
        <v>111</v>
      </c>
      <c r="B127" s="154"/>
      <c r="C127" s="154"/>
      <c r="D127" s="154"/>
      <c r="E127" s="154"/>
      <c r="F127" s="167" t="s">
        <v>47</v>
      </c>
      <c r="G127" s="167"/>
    </row>
    <row r="128" spans="1:7">
      <c r="A128" s="147" t="s">
        <v>112</v>
      </c>
      <c r="B128" s="147"/>
      <c r="C128" s="147"/>
      <c r="D128" s="147"/>
      <c r="E128" s="147"/>
      <c r="F128" s="165">
        <v>0</v>
      </c>
      <c r="G128" s="165"/>
    </row>
    <row r="129" spans="1:7">
      <c r="A129" s="150" t="s">
        <v>113</v>
      </c>
      <c r="B129" s="150"/>
      <c r="C129" s="150"/>
      <c r="D129" s="150"/>
      <c r="E129" s="150"/>
      <c r="F129" s="165">
        <f>SUM(F123,F124,F126,F128)</f>
        <v>14.249999999999998</v>
      </c>
      <c r="G129" s="165"/>
    </row>
    <row r="130" spans="1:7">
      <c r="A130" s="156" t="s">
        <v>114</v>
      </c>
      <c r="B130" s="156"/>
      <c r="C130" s="156"/>
      <c r="D130" s="163">
        <f>F129/100</f>
        <v>0.14249999999999999</v>
      </c>
      <c r="E130" s="163"/>
      <c r="F130" s="166"/>
      <c r="G130" s="166"/>
    </row>
    <row r="131" spans="1:7">
      <c r="A131" s="160" t="s">
        <v>115</v>
      </c>
      <c r="B131" s="160"/>
      <c r="C131" s="160"/>
      <c r="D131" s="161" t="s">
        <v>116</v>
      </c>
      <c r="E131" s="161"/>
      <c r="F131" s="162">
        <f>SUM(F39,F50,F57,F111,F116,F119)</f>
        <v>8809.1972891879741</v>
      </c>
      <c r="G131" s="162"/>
    </row>
    <row r="132" spans="1:7">
      <c r="A132" s="156" t="s">
        <v>117</v>
      </c>
      <c r="B132" s="156"/>
      <c r="C132" s="156"/>
      <c r="D132" s="163">
        <f>1-D130</f>
        <v>0.85750000000000004</v>
      </c>
      <c r="E132" s="163"/>
      <c r="F132" s="164"/>
      <c r="G132" s="164"/>
    </row>
    <row r="133" spans="1:7">
      <c r="A133" s="156" t="s">
        <v>118</v>
      </c>
      <c r="B133" s="156"/>
      <c r="C133" s="156"/>
      <c r="D133" s="157" t="s">
        <v>119</v>
      </c>
      <c r="E133" s="157"/>
      <c r="F133" s="158">
        <f>F131/D132</f>
        <v>10273.116372230874</v>
      </c>
      <c r="G133" s="158"/>
    </row>
    <row r="134" spans="1:7">
      <c r="A134" s="150" t="s">
        <v>120</v>
      </c>
      <c r="B134" s="150"/>
      <c r="C134" s="150"/>
      <c r="D134" s="150"/>
      <c r="E134" s="150"/>
      <c r="F134" s="159">
        <f>F129/100*F133</f>
        <v>1463.9190830428995</v>
      </c>
      <c r="G134" s="159"/>
    </row>
    <row r="135" spans="1:7">
      <c r="A135" s="153" t="s">
        <v>121</v>
      </c>
      <c r="B135" s="153"/>
      <c r="C135" s="153"/>
      <c r="D135" s="153"/>
      <c r="E135" s="153"/>
      <c r="F135" s="153"/>
      <c r="G135" s="153"/>
    </row>
    <row r="136" spans="1:7">
      <c r="A136" s="154" t="s">
        <v>122</v>
      </c>
      <c r="B136" s="154"/>
      <c r="C136" s="154"/>
      <c r="D136" s="154"/>
      <c r="E136" s="154"/>
      <c r="F136" s="153" t="s">
        <v>48</v>
      </c>
      <c r="G136" s="155"/>
    </row>
    <row r="137" spans="1:7">
      <c r="A137" s="147" t="s">
        <v>101</v>
      </c>
      <c r="B137" s="147"/>
      <c r="C137" s="147"/>
      <c r="D137" s="147"/>
      <c r="E137" s="147"/>
      <c r="F137" s="148">
        <f>F116</f>
        <v>231.98786826089417</v>
      </c>
      <c r="G137" s="149"/>
    </row>
    <row r="138" spans="1:7">
      <c r="A138" s="147" t="s">
        <v>103</v>
      </c>
      <c r="B138" s="147"/>
      <c r="C138" s="147"/>
      <c r="D138" s="147"/>
      <c r="E138" s="147"/>
      <c r="F138" s="148">
        <f>F119</f>
        <v>141.28693871274621</v>
      </c>
      <c r="G138" s="149"/>
    </row>
    <row r="139" spans="1:7">
      <c r="A139" s="147" t="s">
        <v>123</v>
      </c>
      <c r="B139" s="147"/>
      <c r="C139" s="147"/>
      <c r="D139" s="147"/>
      <c r="E139" s="147"/>
      <c r="F139" s="148">
        <f>F134</f>
        <v>1463.9190830428995</v>
      </c>
      <c r="G139" s="149"/>
    </row>
    <row r="140" spans="1:7">
      <c r="A140" s="150" t="s">
        <v>124</v>
      </c>
      <c r="B140" s="151"/>
      <c r="C140" s="151"/>
      <c r="D140" s="151"/>
      <c r="E140" s="151"/>
      <c r="F140" s="152">
        <f>SUM(F137:G139)</f>
        <v>1837.1938900165399</v>
      </c>
      <c r="G140" s="152"/>
    </row>
    <row r="141" spans="1:7">
      <c r="A141" s="149"/>
      <c r="B141" s="149"/>
      <c r="C141" s="149"/>
      <c r="D141" s="149"/>
      <c r="E141" s="149"/>
      <c r="F141" s="149"/>
      <c r="G141" s="149"/>
    </row>
    <row r="142" spans="1:7">
      <c r="A142" s="153" t="s">
        <v>125</v>
      </c>
      <c r="B142" s="153"/>
      <c r="C142" s="153"/>
      <c r="D142" s="153"/>
      <c r="E142" s="153"/>
      <c r="F142" s="153"/>
      <c r="G142" s="153"/>
    </row>
    <row r="143" spans="1:7">
      <c r="A143" s="154" t="s">
        <v>126</v>
      </c>
      <c r="B143" s="154"/>
      <c r="C143" s="154"/>
      <c r="D143" s="154"/>
      <c r="E143" s="154"/>
      <c r="F143" s="153" t="s">
        <v>48</v>
      </c>
      <c r="G143" s="155"/>
    </row>
    <row r="144" spans="1:7">
      <c r="A144" s="147" t="s">
        <v>127</v>
      </c>
      <c r="B144" s="147"/>
      <c r="C144" s="147"/>
      <c r="D144" s="147"/>
      <c r="E144" s="147"/>
      <c r="F144" s="148">
        <f>F39</f>
        <v>4128.6720024727274</v>
      </c>
      <c r="G144" s="149"/>
    </row>
    <row r="145" spans="1:7">
      <c r="A145" s="147" t="s">
        <v>128</v>
      </c>
      <c r="B145" s="147"/>
      <c r="C145" s="147"/>
      <c r="D145" s="147"/>
      <c r="E145" s="147"/>
      <c r="F145" s="148">
        <f>F50</f>
        <v>1390.0869073473423</v>
      </c>
      <c r="G145" s="149"/>
    </row>
    <row r="146" spans="1:7">
      <c r="A146" s="147" t="s">
        <v>129</v>
      </c>
      <c r="B146" s="147"/>
      <c r="C146" s="147"/>
      <c r="D146" s="147"/>
      <c r="E146" s="147"/>
      <c r="F146" s="148">
        <f>F57</f>
        <v>116.70547351190478</v>
      </c>
      <c r="G146" s="149"/>
    </row>
    <row r="147" spans="1:7">
      <c r="A147" s="147" t="s">
        <v>130</v>
      </c>
      <c r="B147" s="147"/>
      <c r="C147" s="147"/>
      <c r="D147" s="147"/>
      <c r="E147" s="147"/>
      <c r="F147" s="148">
        <f>F111</f>
        <v>2800.4580988823595</v>
      </c>
      <c r="G147" s="149"/>
    </row>
    <row r="148" spans="1:7">
      <c r="A148" s="147" t="s">
        <v>131</v>
      </c>
      <c r="B148" s="147"/>
      <c r="C148" s="147"/>
      <c r="D148" s="147"/>
      <c r="E148" s="147"/>
      <c r="F148" s="148">
        <f>F140</f>
        <v>1837.1938900165399</v>
      </c>
      <c r="G148" s="149"/>
    </row>
    <row r="149" spans="1:7">
      <c r="A149" s="150" t="s">
        <v>132</v>
      </c>
      <c r="B149" s="151"/>
      <c r="C149" s="151"/>
      <c r="D149" s="151"/>
      <c r="E149" s="151"/>
      <c r="F149" s="152">
        <f>ROUND(SUM(F144:G148),2)</f>
        <v>10273.120000000001</v>
      </c>
      <c r="G149" s="152"/>
    </row>
    <row r="151" spans="1:7">
      <c r="A151" s="240"/>
      <c r="B151" s="240"/>
      <c r="C151" s="240"/>
    </row>
  </sheetData>
  <mergeCells count="264">
    <mergeCell ref="A151:C151"/>
    <mergeCell ref="A140:E140"/>
    <mergeCell ref="F140:G140"/>
    <mergeCell ref="A142:G142"/>
    <mergeCell ref="A149:E149"/>
    <mergeCell ref="F149:G149"/>
    <mergeCell ref="A147:E147"/>
    <mergeCell ref="F147:G147"/>
    <mergeCell ref="A148:E148"/>
    <mergeCell ref="F148:G148"/>
    <mergeCell ref="A144:E144"/>
    <mergeCell ref="F144:G144"/>
    <mergeCell ref="A145:E145"/>
    <mergeCell ref="F145:G145"/>
    <mergeCell ref="A146:E146"/>
    <mergeCell ref="F146:G146"/>
    <mergeCell ref="A141:G141"/>
    <mergeCell ref="A143:E143"/>
    <mergeCell ref="F143:G143"/>
    <mergeCell ref="A137:E137"/>
    <mergeCell ref="F137:G137"/>
    <mergeCell ref="A138:E138"/>
    <mergeCell ref="F138:G138"/>
    <mergeCell ref="A139:E139"/>
    <mergeCell ref="F139:G139"/>
    <mergeCell ref="F133:G133"/>
    <mergeCell ref="A136:E136"/>
    <mergeCell ref="F136:G136"/>
    <mergeCell ref="A133:C133"/>
    <mergeCell ref="D133:E133"/>
    <mergeCell ref="A134:E134"/>
    <mergeCell ref="F134:G134"/>
    <mergeCell ref="A135:G135"/>
    <mergeCell ref="A131:C131"/>
    <mergeCell ref="D131:E131"/>
    <mergeCell ref="F131:G131"/>
    <mergeCell ref="A132:C132"/>
    <mergeCell ref="D132:E132"/>
    <mergeCell ref="F132:G132"/>
    <mergeCell ref="F129:G129"/>
    <mergeCell ref="A130:C130"/>
    <mergeCell ref="D130:E130"/>
    <mergeCell ref="F130:G130"/>
    <mergeCell ref="A129:E129"/>
    <mergeCell ref="A126:E126"/>
    <mergeCell ref="F126:G126"/>
    <mergeCell ref="A127:E127"/>
    <mergeCell ref="F127:G127"/>
    <mergeCell ref="A128:E128"/>
    <mergeCell ref="F128:G128"/>
    <mergeCell ref="A123:E123"/>
    <mergeCell ref="F123:G123"/>
    <mergeCell ref="A124:E124"/>
    <mergeCell ref="F124:G124"/>
    <mergeCell ref="A125:E125"/>
    <mergeCell ref="F125:G125"/>
    <mergeCell ref="A121:E121"/>
    <mergeCell ref="F121:G121"/>
    <mergeCell ref="A122:E122"/>
    <mergeCell ref="F122:G122"/>
    <mergeCell ref="A119:D119"/>
    <mergeCell ref="F119:G119"/>
    <mergeCell ref="A120:G120"/>
    <mergeCell ref="A115:D115"/>
    <mergeCell ref="F115:G115"/>
    <mergeCell ref="A118:D118"/>
    <mergeCell ref="F118:G118"/>
    <mergeCell ref="A116:D116"/>
    <mergeCell ref="F116:G116"/>
    <mergeCell ref="A117:G117"/>
    <mergeCell ref="A110:E110"/>
    <mergeCell ref="F110:G110"/>
    <mergeCell ref="A112:G112"/>
    <mergeCell ref="A113:G113"/>
    <mergeCell ref="A111:E111"/>
    <mergeCell ref="F111:G111"/>
    <mergeCell ref="A114:G114"/>
    <mergeCell ref="A107:E107"/>
    <mergeCell ref="F107:G107"/>
    <mergeCell ref="A108:E108"/>
    <mergeCell ref="F108:G108"/>
    <mergeCell ref="A109:E109"/>
    <mergeCell ref="F109:G109"/>
    <mergeCell ref="A104:E104"/>
    <mergeCell ref="F104:G104"/>
    <mergeCell ref="A105:E105"/>
    <mergeCell ref="F105:G105"/>
    <mergeCell ref="A106:E106"/>
    <mergeCell ref="F106:G106"/>
    <mergeCell ref="A100:E100"/>
    <mergeCell ref="F100:G100"/>
    <mergeCell ref="A101:E101"/>
    <mergeCell ref="F101:G101"/>
    <mergeCell ref="A102:E102"/>
    <mergeCell ref="F102:G102"/>
    <mergeCell ref="A103:G103"/>
    <mergeCell ref="A97:E97"/>
    <mergeCell ref="F97:G97"/>
    <mergeCell ref="A98:E98"/>
    <mergeCell ref="F98:G98"/>
    <mergeCell ref="A99:E99"/>
    <mergeCell ref="F99:G99"/>
    <mergeCell ref="A94:E94"/>
    <mergeCell ref="F94:G94"/>
    <mergeCell ref="A95:E95"/>
    <mergeCell ref="F95:G95"/>
    <mergeCell ref="A96:E96"/>
    <mergeCell ref="F96:G96"/>
    <mergeCell ref="A90:E90"/>
    <mergeCell ref="F90:G90"/>
    <mergeCell ref="A93:E93"/>
    <mergeCell ref="F93:G93"/>
    <mergeCell ref="A91:E91"/>
    <mergeCell ref="F91:G91"/>
    <mergeCell ref="A92:G92"/>
    <mergeCell ref="A87:E87"/>
    <mergeCell ref="F87:G87"/>
    <mergeCell ref="A88:E88"/>
    <mergeCell ref="F88:G88"/>
    <mergeCell ref="A89:E89"/>
    <mergeCell ref="F89:G89"/>
    <mergeCell ref="A84:E84"/>
    <mergeCell ref="F84:G84"/>
    <mergeCell ref="A85:E85"/>
    <mergeCell ref="F85:G85"/>
    <mergeCell ref="A86:E86"/>
    <mergeCell ref="F86:G86"/>
    <mergeCell ref="A80:E80"/>
    <mergeCell ref="F80:G80"/>
    <mergeCell ref="A81:E81"/>
    <mergeCell ref="F81:G81"/>
    <mergeCell ref="A82:E82"/>
    <mergeCell ref="F82:G82"/>
    <mergeCell ref="A83:G83"/>
    <mergeCell ref="A76:E76"/>
    <mergeCell ref="F76:G76"/>
    <mergeCell ref="A79:E79"/>
    <mergeCell ref="F79:G79"/>
    <mergeCell ref="A77:E77"/>
    <mergeCell ref="F77:G77"/>
    <mergeCell ref="A78:G78"/>
    <mergeCell ref="A73:E73"/>
    <mergeCell ref="F73:G73"/>
    <mergeCell ref="A74:E74"/>
    <mergeCell ref="F74:G74"/>
    <mergeCell ref="A75:E75"/>
    <mergeCell ref="F75:G75"/>
    <mergeCell ref="A69:D69"/>
    <mergeCell ref="F69:G69"/>
    <mergeCell ref="A72:E72"/>
    <mergeCell ref="F72:G72"/>
    <mergeCell ref="A70:D70"/>
    <mergeCell ref="F70:G70"/>
    <mergeCell ref="A71:G71"/>
    <mergeCell ref="A66:D66"/>
    <mergeCell ref="F66:G66"/>
    <mergeCell ref="A67:D67"/>
    <mergeCell ref="F67:G67"/>
    <mergeCell ref="A68:D68"/>
    <mergeCell ref="F68:G68"/>
    <mergeCell ref="A63:D63"/>
    <mergeCell ref="F63:G63"/>
    <mergeCell ref="A64:D64"/>
    <mergeCell ref="F64:G64"/>
    <mergeCell ref="A65:D65"/>
    <mergeCell ref="F65:G65"/>
    <mergeCell ref="A59:G59"/>
    <mergeCell ref="A61:D61"/>
    <mergeCell ref="F61:G61"/>
    <mergeCell ref="A62:D62"/>
    <mergeCell ref="F62:G62"/>
    <mergeCell ref="A60:G60"/>
    <mergeCell ref="A55:E55"/>
    <mergeCell ref="F55:G55"/>
    <mergeCell ref="A56:E56"/>
    <mergeCell ref="F56:G56"/>
    <mergeCell ref="A58:G58"/>
    <mergeCell ref="A57:E57"/>
    <mergeCell ref="F57:G57"/>
    <mergeCell ref="A52:E52"/>
    <mergeCell ref="F52:G52"/>
    <mergeCell ref="A53:E53"/>
    <mergeCell ref="F53:G53"/>
    <mergeCell ref="A54:E54"/>
    <mergeCell ref="F54:G54"/>
    <mergeCell ref="A47:E47"/>
    <mergeCell ref="F47:G47"/>
    <mergeCell ref="A48:E48"/>
    <mergeCell ref="F48:G48"/>
    <mergeCell ref="A51:G51"/>
    <mergeCell ref="A44:E44"/>
    <mergeCell ref="F44:G44"/>
    <mergeCell ref="A45:E45"/>
    <mergeCell ref="F45:G45"/>
    <mergeCell ref="A46:E46"/>
    <mergeCell ref="F46:G46"/>
    <mergeCell ref="A50:E50"/>
    <mergeCell ref="F50:G50"/>
    <mergeCell ref="A49:E49"/>
    <mergeCell ref="F49:G49"/>
    <mergeCell ref="A42:E42"/>
    <mergeCell ref="F42:G42"/>
    <mergeCell ref="A43:E43"/>
    <mergeCell ref="F43:G43"/>
    <mergeCell ref="A37:D37"/>
    <mergeCell ref="F37:G37"/>
    <mergeCell ref="A39:E39"/>
    <mergeCell ref="F39:G39"/>
    <mergeCell ref="A40:G40"/>
    <mergeCell ref="A41:G41"/>
    <mergeCell ref="A35:D35"/>
    <mergeCell ref="F35:G35"/>
    <mergeCell ref="A36:D36"/>
    <mergeCell ref="F36:G36"/>
    <mergeCell ref="A38:D38"/>
    <mergeCell ref="F38:G38"/>
    <mergeCell ref="A31:D31"/>
    <mergeCell ref="E31:G31"/>
    <mergeCell ref="A32:G32"/>
    <mergeCell ref="A33:G33"/>
    <mergeCell ref="A34:D34"/>
    <mergeCell ref="F34:G34"/>
    <mergeCell ref="A27:G27"/>
    <mergeCell ref="A28:D28"/>
    <mergeCell ref="E28:G28"/>
    <mergeCell ref="A29:D29"/>
    <mergeCell ref="E29:G29"/>
    <mergeCell ref="A30:D30"/>
    <mergeCell ref="E30:G30"/>
    <mergeCell ref="A23:G23"/>
    <mergeCell ref="A24:G24"/>
    <mergeCell ref="A25:D25"/>
    <mergeCell ref="E25:G25"/>
    <mergeCell ref="A26:D26"/>
    <mergeCell ref="E26:G26"/>
    <mergeCell ref="A20:D20"/>
    <mergeCell ref="E20:G20"/>
    <mergeCell ref="A21:G21"/>
    <mergeCell ref="A22:G22"/>
    <mergeCell ref="A16:D16"/>
    <mergeCell ref="E16:G16"/>
    <mergeCell ref="A17:D17"/>
    <mergeCell ref="E17:G17"/>
    <mergeCell ref="A18:D18"/>
    <mergeCell ref="E18:G18"/>
    <mergeCell ref="A15:D15"/>
    <mergeCell ref="E15:G15"/>
    <mergeCell ref="A6:G6"/>
    <mergeCell ref="A7:G7"/>
    <mergeCell ref="A8:G8"/>
    <mergeCell ref="A9:G9"/>
    <mergeCell ref="A10:G10"/>
    <mergeCell ref="A11:G11"/>
    <mergeCell ref="A19:D19"/>
    <mergeCell ref="E19:G19"/>
    <mergeCell ref="A1:G1"/>
    <mergeCell ref="B2:G2"/>
    <mergeCell ref="B3:G3"/>
    <mergeCell ref="B4:G4"/>
    <mergeCell ref="B5:G5"/>
    <mergeCell ref="A12:G12"/>
    <mergeCell ref="A13:G13"/>
    <mergeCell ref="A14:D14"/>
    <mergeCell ref="E14:G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18"/>
  <sheetViews>
    <sheetView workbookViewId="0">
      <selection activeCell="C23" sqref="C23"/>
    </sheetView>
  </sheetViews>
  <sheetFormatPr defaultRowHeight="12.75"/>
  <cols>
    <col min="1" max="1" width="13.28515625" style="3" bestFit="1" customWidth="1"/>
    <col min="2" max="2" width="19.140625" style="3" customWidth="1"/>
    <col min="3" max="3" width="20.5703125" style="3" customWidth="1"/>
    <col min="4" max="5" width="13.85546875" style="3" customWidth="1"/>
    <col min="6" max="6" width="15.7109375" style="6" customWidth="1"/>
    <col min="7" max="8" width="17.85546875" style="3" customWidth="1"/>
    <col min="9" max="9" width="16.140625" style="3" customWidth="1"/>
    <col min="10" max="16384" width="9.140625" style="3"/>
  </cols>
  <sheetData>
    <row r="2" spans="1:8">
      <c r="C2" s="244" t="s">
        <v>0</v>
      </c>
      <c r="D2" s="244"/>
      <c r="E2" s="244"/>
      <c r="F2" s="244"/>
      <c r="G2" s="244"/>
      <c r="H2" s="244"/>
    </row>
    <row r="3" spans="1:8">
      <c r="C3" s="244" t="s">
        <v>1</v>
      </c>
      <c r="D3" s="244"/>
      <c r="E3" s="244"/>
      <c r="F3" s="244"/>
      <c r="G3" s="244"/>
      <c r="H3" s="244"/>
    </row>
    <row r="4" spans="1:8">
      <c r="C4" s="244" t="s">
        <v>2</v>
      </c>
      <c r="D4" s="244"/>
      <c r="E4" s="244"/>
      <c r="F4" s="244"/>
      <c r="G4" s="244"/>
      <c r="H4" s="244"/>
    </row>
    <row r="6" spans="1:8">
      <c r="C6" s="245"/>
      <c r="D6" s="245"/>
      <c r="E6" s="245"/>
      <c r="F6" s="245"/>
      <c r="G6" s="245"/>
      <c r="H6" s="245"/>
    </row>
    <row r="7" spans="1:8">
      <c r="A7" s="246" t="s">
        <v>146</v>
      </c>
      <c r="B7" s="247"/>
      <c r="C7" s="247"/>
      <c r="D7" s="247"/>
      <c r="E7" s="247"/>
      <c r="F7" s="247"/>
      <c r="G7" s="247"/>
      <c r="H7" s="248"/>
    </row>
    <row r="8" spans="1:8" ht="38.25" customHeight="1">
      <c r="A8" s="1" t="s">
        <v>3</v>
      </c>
      <c r="B8" s="39" t="s">
        <v>147</v>
      </c>
      <c r="C8" s="1" t="s">
        <v>4</v>
      </c>
      <c r="D8" s="1" t="s">
        <v>5</v>
      </c>
      <c r="E8" s="12" t="s">
        <v>9</v>
      </c>
      <c r="F8" s="12" t="s">
        <v>10</v>
      </c>
      <c r="G8" s="12" t="s">
        <v>13</v>
      </c>
      <c r="H8" s="12" t="s">
        <v>14</v>
      </c>
    </row>
    <row r="9" spans="1:8" ht="38.25">
      <c r="A9" s="2">
        <v>1</v>
      </c>
      <c r="B9" s="2"/>
      <c r="C9" s="14" t="s">
        <v>8</v>
      </c>
      <c r="D9" s="18">
        <v>39.14</v>
      </c>
      <c r="E9" s="8" t="s">
        <v>162</v>
      </c>
      <c r="F9" s="2">
        <v>4</v>
      </c>
      <c r="G9" s="9">
        <f>D9*F9</f>
        <v>156.56</v>
      </c>
      <c r="H9" s="11">
        <f>(D9*F9)/12</f>
        <v>13.046666666666667</v>
      </c>
    </row>
    <row r="10" spans="1:8" ht="34.5" customHeight="1">
      <c r="A10" s="2">
        <v>2</v>
      </c>
      <c r="B10" s="2"/>
      <c r="C10" s="14" t="s">
        <v>26</v>
      </c>
      <c r="D10" s="18">
        <v>60.97</v>
      </c>
      <c r="E10" s="8" t="s">
        <v>162</v>
      </c>
      <c r="F10" s="2">
        <v>4</v>
      </c>
      <c r="G10" s="9">
        <f>D10*F10</f>
        <v>243.88</v>
      </c>
      <c r="H10" s="11">
        <f t="shared" ref="H10:H16" si="0">(D10*F10)/12</f>
        <v>20.323333333333334</v>
      </c>
    </row>
    <row r="11" spans="1:8" ht="51">
      <c r="A11" s="2">
        <v>3</v>
      </c>
      <c r="B11" s="2"/>
      <c r="C11" s="14" t="s">
        <v>136</v>
      </c>
      <c r="D11" s="35">
        <v>114.59</v>
      </c>
      <c r="E11" s="36" t="s">
        <v>162</v>
      </c>
      <c r="F11" s="37">
        <v>1</v>
      </c>
      <c r="G11" s="9">
        <f>D11*F11</f>
        <v>114.59</v>
      </c>
      <c r="H11" s="11">
        <f t="shared" si="0"/>
        <v>9.5491666666666664</v>
      </c>
    </row>
    <row r="12" spans="1:8" ht="36.75" customHeight="1">
      <c r="A12" s="2">
        <v>4</v>
      </c>
      <c r="B12" s="2"/>
      <c r="C12" s="14" t="s">
        <v>12</v>
      </c>
      <c r="D12" s="18">
        <v>66.83</v>
      </c>
      <c r="E12" s="8" t="s">
        <v>162</v>
      </c>
      <c r="F12" s="2">
        <v>1</v>
      </c>
      <c r="G12" s="9">
        <f>D12*F12</f>
        <v>66.83</v>
      </c>
      <c r="H12" s="11">
        <f t="shared" si="0"/>
        <v>5.5691666666666668</v>
      </c>
    </row>
    <row r="13" spans="1:8" ht="34.5" customHeight="1">
      <c r="A13" s="2">
        <v>5</v>
      </c>
      <c r="B13" s="2"/>
      <c r="C13" s="14" t="s">
        <v>11</v>
      </c>
      <c r="D13" s="18">
        <v>19.54</v>
      </c>
      <c r="E13" s="8" t="s">
        <v>162</v>
      </c>
      <c r="F13" s="2">
        <v>1</v>
      </c>
      <c r="G13" s="9">
        <f t="shared" ref="G13:G15" si="1">D13*F13</f>
        <v>19.54</v>
      </c>
      <c r="H13" s="11">
        <f t="shared" si="0"/>
        <v>1.6283333333333332</v>
      </c>
    </row>
    <row r="14" spans="1:8" ht="51" customHeight="1">
      <c r="A14" s="2">
        <v>6</v>
      </c>
      <c r="B14" s="2"/>
      <c r="C14" s="14" t="s">
        <v>186</v>
      </c>
      <c r="D14" s="35">
        <v>68.59</v>
      </c>
      <c r="E14" s="36" t="s">
        <v>162</v>
      </c>
      <c r="F14" s="37">
        <v>1</v>
      </c>
      <c r="G14" s="9">
        <f t="shared" si="1"/>
        <v>68.59</v>
      </c>
      <c r="H14" s="11">
        <f t="shared" si="0"/>
        <v>5.7158333333333333</v>
      </c>
    </row>
    <row r="15" spans="1:8" ht="51" customHeight="1">
      <c r="A15" s="2">
        <v>7</v>
      </c>
      <c r="B15" s="2"/>
      <c r="C15" s="60" t="s">
        <v>187</v>
      </c>
      <c r="D15" s="61">
        <v>14.36</v>
      </c>
      <c r="E15" s="64" t="s">
        <v>162</v>
      </c>
      <c r="F15" s="2">
        <v>1</v>
      </c>
      <c r="G15" s="63">
        <f t="shared" si="1"/>
        <v>14.36</v>
      </c>
      <c r="H15" s="11">
        <f t="shared" si="0"/>
        <v>1.1966666666666665</v>
      </c>
    </row>
    <row r="16" spans="1:8" ht="51" customHeight="1">
      <c r="A16" s="2">
        <v>8</v>
      </c>
      <c r="B16" s="2"/>
      <c r="C16" s="60" t="s">
        <v>188</v>
      </c>
      <c r="D16" s="61">
        <v>5.59</v>
      </c>
      <c r="E16" s="62" t="s">
        <v>162</v>
      </c>
      <c r="F16" s="2">
        <v>1</v>
      </c>
      <c r="G16" s="63">
        <f>D16*F16</f>
        <v>5.59</v>
      </c>
      <c r="H16" s="11">
        <f t="shared" si="0"/>
        <v>0.46583333333333332</v>
      </c>
    </row>
    <row r="17" spans="1:8">
      <c r="A17" s="2"/>
      <c r="B17" s="2"/>
      <c r="C17" s="241" t="s">
        <v>6</v>
      </c>
      <c r="D17" s="242"/>
      <c r="E17" s="242"/>
      <c r="F17" s="243"/>
      <c r="G17" s="10">
        <f>SUM(G9:G16)</f>
        <v>689.94</v>
      </c>
      <c r="H17" s="10">
        <f>SUM(H9:H16)</f>
        <v>57.495000000000005</v>
      </c>
    </row>
    <row r="18" spans="1:8">
      <c r="C18" s="4"/>
      <c r="D18" s="4"/>
      <c r="E18" s="4"/>
      <c r="F18" s="4"/>
      <c r="G18" s="5"/>
      <c r="H18" s="5"/>
    </row>
  </sheetData>
  <mergeCells count="6">
    <mergeCell ref="C17:F17"/>
    <mergeCell ref="C2:H2"/>
    <mergeCell ref="C3:H3"/>
    <mergeCell ref="C4:H4"/>
    <mergeCell ref="C6:H6"/>
    <mergeCell ref="A7:H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K18"/>
  <sheetViews>
    <sheetView topLeftCell="A4" workbookViewId="0">
      <selection activeCell="J13" sqref="J13"/>
    </sheetView>
  </sheetViews>
  <sheetFormatPr defaultRowHeight="12.75"/>
  <cols>
    <col min="1" max="1" width="9.140625" style="3"/>
    <col min="2" max="2" width="14" style="3" customWidth="1"/>
    <col min="3" max="3" width="20.5703125" style="3" customWidth="1"/>
    <col min="4" max="4" width="8.85546875" style="3" customWidth="1"/>
    <col min="5" max="5" width="13.85546875" style="3" customWidth="1"/>
    <col min="6" max="6" width="11.28515625" style="3" customWidth="1"/>
    <col min="7" max="7" width="14.42578125" style="3" customWidth="1"/>
    <col min="8" max="8" width="17" style="6" customWidth="1"/>
    <col min="9" max="10" width="17.85546875" style="3" customWidth="1"/>
    <col min="11" max="11" width="14.42578125" style="3" customWidth="1"/>
    <col min="12" max="17" width="9.140625" style="3"/>
    <col min="18" max="18" width="17" style="3" customWidth="1"/>
    <col min="19" max="16384" width="9.140625" style="3"/>
  </cols>
  <sheetData>
    <row r="2" spans="1:11">
      <c r="C2" s="244" t="s">
        <v>0</v>
      </c>
      <c r="D2" s="244"/>
      <c r="E2" s="244"/>
      <c r="F2" s="244"/>
      <c r="G2" s="244"/>
      <c r="H2" s="244"/>
      <c r="I2" s="244"/>
      <c r="J2" s="244"/>
    </row>
    <row r="3" spans="1:11">
      <c r="C3" s="244" t="s">
        <v>1</v>
      </c>
      <c r="D3" s="244"/>
      <c r="E3" s="244"/>
      <c r="F3" s="244"/>
      <c r="G3" s="244"/>
      <c r="H3" s="244"/>
      <c r="I3" s="244"/>
      <c r="J3" s="244"/>
    </row>
    <row r="4" spans="1:11">
      <c r="C4" s="244" t="s">
        <v>2</v>
      </c>
      <c r="D4" s="244"/>
      <c r="E4" s="244"/>
      <c r="F4" s="244"/>
      <c r="G4" s="244"/>
      <c r="H4" s="244"/>
      <c r="I4" s="244"/>
      <c r="J4" s="244"/>
    </row>
    <row r="6" spans="1:11">
      <c r="C6" s="245" t="s">
        <v>7</v>
      </c>
      <c r="D6" s="245"/>
      <c r="E6" s="245"/>
      <c r="F6" s="245"/>
      <c r="G6" s="245"/>
      <c r="H6" s="245"/>
      <c r="I6" s="245"/>
      <c r="J6" s="245"/>
    </row>
    <row r="9" spans="1:11">
      <c r="A9" s="246" t="s">
        <v>198</v>
      </c>
      <c r="B9" s="247"/>
      <c r="C9" s="247"/>
      <c r="D9" s="247"/>
      <c r="E9" s="247"/>
      <c r="F9" s="247"/>
      <c r="G9" s="247"/>
      <c r="H9" s="247"/>
      <c r="I9" s="247"/>
      <c r="J9" s="248"/>
    </row>
    <row r="10" spans="1:11" ht="25.5">
      <c r="A10" s="1" t="s">
        <v>3</v>
      </c>
      <c r="B10" s="39" t="s">
        <v>147</v>
      </c>
      <c r="C10" s="1" t="s">
        <v>4</v>
      </c>
      <c r="D10" s="1" t="s">
        <v>149</v>
      </c>
      <c r="E10" s="1" t="s">
        <v>5</v>
      </c>
      <c r="F10" s="1" t="s">
        <v>24</v>
      </c>
      <c r="G10" s="1" t="s">
        <v>140</v>
      </c>
      <c r="H10" s="12" t="s">
        <v>25</v>
      </c>
      <c r="I10" s="12" t="s">
        <v>143</v>
      </c>
      <c r="J10" s="12" t="s">
        <v>141</v>
      </c>
    </row>
    <row r="11" spans="1:11">
      <c r="A11" s="2">
        <v>1</v>
      </c>
      <c r="B11" s="2">
        <v>2</v>
      </c>
      <c r="C11" s="7" t="s">
        <v>17</v>
      </c>
      <c r="D11" s="40" t="s">
        <v>150</v>
      </c>
      <c r="E11" s="15">
        <v>2403.2600000000002</v>
      </c>
      <c r="F11" s="41">
        <v>5</v>
      </c>
      <c r="G11" s="13">
        <f>(E11*F11)</f>
        <v>12016.300000000001</v>
      </c>
      <c r="H11" s="56">
        <v>240</v>
      </c>
      <c r="I11" s="11">
        <f>((E11*F11)-((E11*F11)*0.15))</f>
        <v>10213.855000000001</v>
      </c>
      <c r="J11" s="65">
        <f>(I11/H11)/14</f>
        <v>3.039837797619048</v>
      </c>
    </row>
    <row r="12" spans="1:11">
      <c r="A12" s="2">
        <f>(A11+1)</f>
        <v>2</v>
      </c>
      <c r="B12" s="2">
        <v>3</v>
      </c>
      <c r="C12" s="7" t="s">
        <v>19</v>
      </c>
      <c r="D12" s="40" t="s">
        <v>150</v>
      </c>
      <c r="E12" s="15">
        <v>281.57</v>
      </c>
      <c r="F12" s="41">
        <v>2</v>
      </c>
      <c r="G12" s="13">
        <f t="shared" ref="G12:G15" si="0">(E12*F12)</f>
        <v>563.14</v>
      </c>
      <c r="H12" s="56">
        <v>120</v>
      </c>
      <c r="I12" s="11">
        <f>(G12-(G12*0.1))</f>
        <v>506.82599999999996</v>
      </c>
      <c r="J12" s="65">
        <f>(I12/H12)/14</f>
        <v>0.30168214285714284</v>
      </c>
      <c r="K12" s="52"/>
    </row>
    <row r="13" spans="1:11">
      <c r="A13" s="2">
        <f t="shared" ref="A13:A15" si="1">(A12+1)</f>
        <v>3</v>
      </c>
      <c r="B13" s="2">
        <v>2</v>
      </c>
      <c r="C13" s="7" t="s">
        <v>142</v>
      </c>
      <c r="D13" s="40" t="s">
        <v>150</v>
      </c>
      <c r="E13" s="15">
        <v>8051.18</v>
      </c>
      <c r="F13" s="41">
        <v>5</v>
      </c>
      <c r="G13" s="13">
        <f t="shared" si="0"/>
        <v>40255.9</v>
      </c>
      <c r="H13" s="17">
        <v>60</v>
      </c>
      <c r="I13" s="11">
        <f>(G13-(G13*0.15))</f>
        <v>34217.514999999999</v>
      </c>
      <c r="J13" s="65">
        <f t="shared" ref="J13:J17" si="2">(I13/H13)/14</f>
        <v>40.735136904761909</v>
      </c>
    </row>
    <row r="14" spans="1:11" ht="25.5">
      <c r="A14" s="2">
        <f t="shared" si="1"/>
        <v>4</v>
      </c>
      <c r="B14" s="2">
        <v>2</v>
      </c>
      <c r="C14" s="7" t="s">
        <v>148</v>
      </c>
      <c r="D14" s="40" t="s">
        <v>151</v>
      </c>
      <c r="E14" s="15">
        <v>154.61000000000001</v>
      </c>
      <c r="F14" s="41">
        <v>2</v>
      </c>
      <c r="G14" s="13">
        <f t="shared" si="0"/>
        <v>309.22000000000003</v>
      </c>
      <c r="H14" s="2">
        <v>60</v>
      </c>
      <c r="I14" s="11">
        <f>(G14-(G14*0.1))</f>
        <v>278.298</v>
      </c>
      <c r="J14" s="65">
        <f t="shared" si="2"/>
        <v>0.33130714285714286</v>
      </c>
    </row>
    <row r="15" spans="1:11" ht="25.5">
      <c r="A15" s="2">
        <f t="shared" si="1"/>
        <v>5</v>
      </c>
      <c r="B15" s="2">
        <v>3</v>
      </c>
      <c r="C15" s="7" t="s">
        <v>22</v>
      </c>
      <c r="D15" s="40" t="s">
        <v>150</v>
      </c>
      <c r="E15" s="15">
        <v>569.33000000000004</v>
      </c>
      <c r="F15" s="41">
        <v>4</v>
      </c>
      <c r="G15" s="13">
        <f t="shared" si="0"/>
        <v>2277.3200000000002</v>
      </c>
      <c r="H15" s="58">
        <v>120</v>
      </c>
      <c r="I15" s="11">
        <f>(G15-(G15*0.1))</f>
        <v>2049.5880000000002</v>
      </c>
      <c r="J15" s="65">
        <f t="shared" si="2"/>
        <v>1.2199928571428573</v>
      </c>
      <c r="K15" s="52"/>
    </row>
    <row r="16" spans="1:11">
      <c r="A16" s="2">
        <v>6</v>
      </c>
      <c r="B16" s="2">
        <v>2</v>
      </c>
      <c r="C16" s="7" t="s">
        <v>21</v>
      </c>
      <c r="D16" s="40" t="s">
        <v>150</v>
      </c>
      <c r="E16" s="15">
        <v>484.94</v>
      </c>
      <c r="F16" s="41">
        <v>2</v>
      </c>
      <c r="G16" s="13">
        <f t="shared" ref="G16:G17" si="3">(E16*F16)</f>
        <v>969.88</v>
      </c>
      <c r="H16" s="56">
        <v>120</v>
      </c>
      <c r="I16" s="11">
        <f>(G16-(G16*0.1))</f>
        <v>872.89200000000005</v>
      </c>
      <c r="J16" s="65">
        <f t="shared" si="2"/>
        <v>0.51957857142857145</v>
      </c>
    </row>
    <row r="17" spans="1:10" ht="51">
      <c r="A17" s="2">
        <v>7</v>
      </c>
      <c r="B17" s="2">
        <v>3</v>
      </c>
      <c r="C17" s="14" t="s">
        <v>23</v>
      </c>
      <c r="D17" s="40" t="s">
        <v>150</v>
      </c>
      <c r="E17" s="15">
        <v>142.02000000000001</v>
      </c>
      <c r="F17" s="41">
        <v>2</v>
      </c>
      <c r="G17" s="13">
        <f t="shared" si="3"/>
        <v>284.04000000000002</v>
      </c>
      <c r="H17" s="58">
        <v>120</v>
      </c>
      <c r="I17" s="11">
        <f>(G17-(G17*0.1))</f>
        <v>255.63600000000002</v>
      </c>
      <c r="J17" s="65">
        <f t="shared" si="2"/>
        <v>0.15216428571428572</v>
      </c>
    </row>
    <row r="18" spans="1:10">
      <c r="A18" s="1"/>
      <c r="B18" s="38"/>
      <c r="C18" s="241" t="s">
        <v>144</v>
      </c>
      <c r="D18" s="242"/>
      <c r="E18" s="242"/>
      <c r="F18" s="242"/>
      <c r="G18" s="242"/>
      <c r="H18" s="242"/>
      <c r="I18" s="243"/>
      <c r="J18" s="66">
        <f>SUM(J11:J17)</f>
        <v>46.299699702380956</v>
      </c>
    </row>
  </sheetData>
  <mergeCells count="6">
    <mergeCell ref="C18:I18"/>
    <mergeCell ref="C2:J2"/>
    <mergeCell ref="C3:J3"/>
    <mergeCell ref="C4:J4"/>
    <mergeCell ref="C6:J6"/>
    <mergeCell ref="A9:J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20"/>
  <sheetViews>
    <sheetView workbookViewId="0">
      <selection activeCell="N15" sqref="N15"/>
    </sheetView>
  </sheetViews>
  <sheetFormatPr defaultRowHeight="12.75"/>
  <cols>
    <col min="1" max="1" width="9.140625" style="3"/>
    <col min="2" max="2" width="11.5703125" style="3" customWidth="1"/>
    <col min="3" max="3" width="21.5703125" style="3" customWidth="1"/>
    <col min="4" max="5" width="13.85546875" style="3" customWidth="1"/>
    <col min="6" max="6" width="12.140625" style="3" bestFit="1" customWidth="1"/>
    <col min="7" max="7" width="13.85546875" style="3" customWidth="1"/>
    <col min="8" max="8" width="17" style="6" customWidth="1"/>
    <col min="9" max="10" width="17.85546875" style="3" customWidth="1"/>
    <col min="11" max="16384" width="9.140625" style="3"/>
  </cols>
  <sheetData>
    <row r="2" spans="1:10">
      <c r="C2" s="244" t="s">
        <v>0</v>
      </c>
      <c r="D2" s="244"/>
      <c r="E2" s="244"/>
      <c r="F2" s="244"/>
      <c r="G2" s="244"/>
      <c r="H2" s="244"/>
      <c r="I2" s="244"/>
      <c r="J2" s="244"/>
    </row>
    <row r="3" spans="1:10">
      <c r="C3" s="244" t="s">
        <v>1</v>
      </c>
      <c r="D3" s="244"/>
      <c r="E3" s="244"/>
      <c r="F3" s="244"/>
      <c r="G3" s="244"/>
      <c r="H3" s="244"/>
      <c r="I3" s="244"/>
      <c r="J3" s="244"/>
    </row>
    <row r="4" spans="1:10">
      <c r="C4" s="244" t="s">
        <v>2</v>
      </c>
      <c r="D4" s="244"/>
      <c r="E4" s="244"/>
      <c r="F4" s="244"/>
      <c r="G4" s="244"/>
      <c r="H4" s="244"/>
      <c r="I4" s="244"/>
      <c r="J4" s="244"/>
    </row>
    <row r="6" spans="1:10">
      <c r="C6" s="245" t="s">
        <v>7</v>
      </c>
      <c r="D6" s="245"/>
      <c r="E6" s="245"/>
      <c r="F6" s="245"/>
      <c r="G6" s="245"/>
      <c r="H6" s="245"/>
      <c r="I6" s="245"/>
      <c r="J6" s="245"/>
    </row>
    <row r="8" spans="1:10">
      <c r="A8" s="246" t="s">
        <v>199</v>
      </c>
      <c r="B8" s="247"/>
      <c r="C8" s="247"/>
      <c r="D8" s="247"/>
      <c r="E8" s="247"/>
      <c r="F8" s="247"/>
      <c r="G8" s="247"/>
      <c r="H8" s="248"/>
      <c r="I8" s="34"/>
    </row>
    <row r="9" spans="1:10" ht="25.5">
      <c r="A9" s="1" t="s">
        <v>3</v>
      </c>
      <c r="B9" s="39" t="s">
        <v>147</v>
      </c>
      <c r="C9" s="1" t="s">
        <v>4</v>
      </c>
      <c r="D9" s="12" t="s">
        <v>200</v>
      </c>
      <c r="E9" s="1" t="s">
        <v>149</v>
      </c>
      <c r="F9" s="1" t="s">
        <v>24</v>
      </c>
      <c r="G9" s="12" t="s">
        <v>25</v>
      </c>
      <c r="H9" s="30" t="s">
        <v>206</v>
      </c>
      <c r="I9" s="30" t="s">
        <v>15</v>
      </c>
      <c r="J9" s="32"/>
    </row>
    <row r="10" spans="1:10">
      <c r="A10" s="2">
        <v>1</v>
      </c>
      <c r="B10" s="2"/>
      <c r="C10" s="7" t="s">
        <v>16</v>
      </c>
      <c r="D10" s="15">
        <v>5.9</v>
      </c>
      <c r="E10" s="40" t="s">
        <v>150</v>
      </c>
      <c r="F10" s="16">
        <v>50</v>
      </c>
      <c r="G10" s="17">
        <v>12</v>
      </c>
      <c r="H10" s="67">
        <f>D10*F10</f>
        <v>295</v>
      </c>
      <c r="I10" s="31">
        <f>(H10)/14/G10</f>
        <v>1.7559523809523812</v>
      </c>
      <c r="J10" s="33"/>
    </row>
    <row r="11" spans="1:10">
      <c r="A11" s="2">
        <f>(A10+1)</f>
        <v>2</v>
      </c>
      <c r="B11" s="2"/>
      <c r="C11" s="7" t="s">
        <v>18</v>
      </c>
      <c r="D11" s="15">
        <v>68.88</v>
      </c>
      <c r="E11" s="40" t="s">
        <v>150</v>
      </c>
      <c r="F11" s="16">
        <v>5</v>
      </c>
      <c r="G11" s="17">
        <v>12</v>
      </c>
      <c r="H11" s="67">
        <f t="shared" ref="H11:H17" si="0">D11*F11</f>
        <v>344.4</v>
      </c>
      <c r="I11" s="31">
        <f t="shared" ref="I11:I17" si="1">(H11)/14/G11</f>
        <v>2.0499999999999998</v>
      </c>
      <c r="J11" s="33"/>
    </row>
    <row r="12" spans="1:10">
      <c r="A12" s="2">
        <f t="shared" ref="A12:A13" si="2">(A11+1)</f>
        <v>3</v>
      </c>
      <c r="B12" s="2"/>
      <c r="C12" s="7" t="s">
        <v>20</v>
      </c>
      <c r="D12" s="15">
        <v>38.15</v>
      </c>
      <c r="E12" s="40" t="s">
        <v>150</v>
      </c>
      <c r="F12" s="16">
        <v>5</v>
      </c>
      <c r="G12" s="17">
        <v>12</v>
      </c>
      <c r="H12" s="67">
        <f t="shared" si="0"/>
        <v>190.75</v>
      </c>
      <c r="I12" s="31">
        <f t="shared" si="1"/>
        <v>1.1354166666666667</v>
      </c>
      <c r="J12" s="33"/>
    </row>
    <row r="13" spans="1:10" ht="38.25">
      <c r="A13" s="2">
        <f t="shared" si="2"/>
        <v>4</v>
      </c>
      <c r="B13" s="2"/>
      <c r="C13" s="53" t="s">
        <v>201</v>
      </c>
      <c r="D13" s="54">
        <v>79.680000000000007</v>
      </c>
      <c r="E13" s="55" t="s">
        <v>150</v>
      </c>
      <c r="F13" s="41">
        <v>5</v>
      </c>
      <c r="G13" s="58">
        <v>60</v>
      </c>
      <c r="H13" s="67">
        <f t="shared" si="0"/>
        <v>398.40000000000003</v>
      </c>
      <c r="I13" s="31">
        <f t="shared" si="1"/>
        <v>0.47428571428571431</v>
      </c>
      <c r="J13" s="57"/>
    </row>
    <row r="14" spans="1:10">
      <c r="A14" s="2">
        <v>5</v>
      </c>
      <c r="B14" s="2"/>
      <c r="C14" s="53" t="s">
        <v>169</v>
      </c>
      <c r="D14" s="54">
        <v>34.89</v>
      </c>
      <c r="E14" s="55" t="s">
        <v>150</v>
      </c>
      <c r="F14" s="41">
        <v>5</v>
      </c>
      <c r="G14" s="56">
        <v>60</v>
      </c>
      <c r="H14" s="67">
        <f t="shared" si="0"/>
        <v>174.45</v>
      </c>
      <c r="I14" s="31">
        <f t="shared" si="1"/>
        <v>0.20767857142857143</v>
      </c>
      <c r="J14" s="57"/>
    </row>
    <row r="15" spans="1:10" ht="25.5">
      <c r="A15" s="2">
        <v>6</v>
      </c>
      <c r="B15" s="2"/>
      <c r="C15" s="53" t="s">
        <v>170</v>
      </c>
      <c r="D15" s="54">
        <v>577.39</v>
      </c>
      <c r="E15" s="55" t="s">
        <v>150</v>
      </c>
      <c r="F15" s="41">
        <v>5</v>
      </c>
      <c r="G15" s="58">
        <v>60</v>
      </c>
      <c r="H15" s="67">
        <f t="shared" si="0"/>
        <v>2886.95</v>
      </c>
      <c r="I15" s="31">
        <f t="shared" si="1"/>
        <v>3.4368452380952377</v>
      </c>
      <c r="J15" s="57"/>
    </row>
    <row r="16" spans="1:10" ht="25.5">
      <c r="A16" s="2">
        <v>7</v>
      </c>
      <c r="B16" s="2"/>
      <c r="C16" s="53" t="s">
        <v>137</v>
      </c>
      <c r="D16" s="54">
        <v>21.92</v>
      </c>
      <c r="E16" s="55" t="s">
        <v>150</v>
      </c>
      <c r="F16" s="41">
        <v>5</v>
      </c>
      <c r="G16" s="2">
        <v>12</v>
      </c>
      <c r="H16" s="67">
        <f t="shared" si="0"/>
        <v>109.60000000000001</v>
      </c>
      <c r="I16" s="31">
        <f t="shared" si="1"/>
        <v>0.65238095238095239</v>
      </c>
      <c r="J16" s="57"/>
    </row>
    <row r="17" spans="1:10" ht="38.25">
      <c r="A17" s="2">
        <v>8</v>
      </c>
      <c r="B17" s="2"/>
      <c r="C17" s="53" t="s">
        <v>202</v>
      </c>
      <c r="D17" s="54">
        <v>214.92</v>
      </c>
      <c r="E17" s="55" t="s">
        <v>150</v>
      </c>
      <c r="F17" s="41">
        <v>5</v>
      </c>
      <c r="G17" s="2">
        <v>24</v>
      </c>
      <c r="H17" s="67">
        <f t="shared" si="0"/>
        <v>1074.5999999999999</v>
      </c>
      <c r="I17" s="31">
        <f t="shared" si="1"/>
        <v>3.1982142857142857</v>
      </c>
      <c r="J17" s="57"/>
    </row>
    <row r="18" spans="1:10" ht="15" customHeight="1" thickBot="1">
      <c r="A18" s="252" t="s">
        <v>152</v>
      </c>
      <c r="B18" s="253"/>
      <c r="C18" s="253"/>
      <c r="D18" s="253"/>
      <c r="E18" s="253"/>
      <c r="F18" s="253"/>
      <c r="G18" s="254"/>
      <c r="H18" s="68"/>
      <c r="I18" s="101">
        <f>SUM(I10:I17)</f>
        <v>12.91077380952381</v>
      </c>
      <c r="J18" s="59"/>
    </row>
    <row r="19" spans="1:10" ht="15" customHeight="1" thickBot="1">
      <c r="A19" s="249" t="s">
        <v>203</v>
      </c>
      <c r="B19" s="250"/>
      <c r="C19" s="250"/>
      <c r="D19" s="250"/>
      <c r="E19" s="250"/>
      <c r="F19" s="250"/>
      <c r="G19" s="250"/>
      <c r="H19" s="250"/>
      <c r="I19" s="251"/>
    </row>
    <row r="20" spans="1:10" ht="12.75" customHeight="1" thickBot="1">
      <c r="A20" s="249" t="s">
        <v>216</v>
      </c>
      <c r="B20" s="250"/>
      <c r="C20" s="250"/>
      <c r="D20" s="250"/>
      <c r="E20" s="250"/>
      <c r="F20" s="250"/>
      <c r="G20" s="250"/>
      <c r="H20" s="250"/>
      <c r="I20" s="250"/>
      <c r="J20" s="251"/>
    </row>
  </sheetData>
  <mergeCells count="8">
    <mergeCell ref="A20:J20"/>
    <mergeCell ref="A19:I19"/>
    <mergeCell ref="C2:J2"/>
    <mergeCell ref="C3:J3"/>
    <mergeCell ref="C4:J4"/>
    <mergeCell ref="C6:J6"/>
    <mergeCell ref="A8:H8"/>
    <mergeCell ref="A18:G1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790C10DCABFD4DBF61A4FCA06EFDD1" ma:contentTypeVersion="4" ma:contentTypeDescription="Crie um novo documento." ma:contentTypeScope="" ma:versionID="33d5ee4d9d16c84f488b237bafa4a4a3">
  <xsd:schema xmlns:xsd="http://www.w3.org/2001/XMLSchema" xmlns:xs="http://www.w3.org/2001/XMLSchema" xmlns:p="http://schemas.microsoft.com/office/2006/metadata/properties" xmlns:ns2="feedc675-91ac-41ba-88b1-7cbe1c0d23f7" xmlns:ns3="5e4d5e1a-a2f1-4316-b3d6-d95a5b329965" targetNamespace="http://schemas.microsoft.com/office/2006/metadata/properties" ma:root="true" ma:fieldsID="adbd570b5564f43f27511ae5217e0207" ns2:_="" ns3:_="">
    <xsd:import namespace="feedc675-91ac-41ba-88b1-7cbe1c0d23f7"/>
    <xsd:import namespace="5e4d5e1a-a2f1-4316-b3d6-d95a5b329965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dc675-91ac-41ba-88b1-7cbe1c0d23f7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4d5e1a-a2f1-4316-b3d6-d95a5b3299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9EFC7F-066F-47CA-9B43-447DC2BDD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dc675-91ac-41ba-88b1-7cbe1c0d23f7"/>
    <ds:schemaRef ds:uri="5e4d5e1a-a2f1-4316-b3d6-d95a5b3299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0072FD-9D4D-46C5-879A-AE8CD572637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881052F-FC5C-41F1-B21B-A4AD803000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Valor anual</vt:lpstr>
      <vt:lpstr>Vigilante 12X36 SEDE DIURNO</vt:lpstr>
      <vt:lpstr>Vigilante 12x36 - SEDE NOTURNO</vt:lpstr>
      <vt:lpstr>Vigilante 44h SEDE </vt:lpstr>
      <vt:lpstr>Vigilante 12X36 - GALPÃO DIURNO</vt:lpstr>
      <vt:lpstr>Vigilante 12X36 - GALPÃO NOTURN</vt:lpstr>
      <vt:lpstr>Uniforme</vt:lpstr>
      <vt:lpstr>Equipamentos</vt:lpstr>
      <vt:lpstr>Material</vt:lpstr>
      <vt:lpstr>PIS-COFINS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MARCELA MOREIRA CUNHA</cp:lastModifiedBy>
  <cp:lastPrinted>2020-10-27T19:42:08Z</cp:lastPrinted>
  <dcterms:created xsi:type="dcterms:W3CDTF">2020-09-23T19:16:17Z</dcterms:created>
  <dcterms:modified xsi:type="dcterms:W3CDTF">2026-07-14T19:35:43Z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0x01010038790C10DCABFD4DBF61A4FCA06EFDD1</vt:lpwstr>
  </property>
</Properties>
</file>